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ott\Documents\Crop Storage\Walk-in Cooler Info\"/>
    </mc:Choice>
  </mc:AlternateContent>
  <bookViews>
    <workbookView xWindow="1860" yWindow="0" windowWidth="19560" windowHeight="6405"/>
  </bookViews>
  <sheets>
    <sheet name="Introduction" sheetId="4" r:id="rId1"/>
    <sheet name="16&quot;OC walls" sheetId="1" r:id="rId2"/>
    <sheet name="24&quot;OC walls" sheetId="2" r:id="rId3"/>
    <sheet name="48&quot;OC walls" sheetId="3" state="hidden" r:id="rId4"/>
  </sheets>
  <calcPr calcId="162913"/>
</workbook>
</file>

<file path=xl/calcChain.xml><?xml version="1.0" encoding="utf-8"?>
<calcChain xmlns="http://schemas.openxmlformats.org/spreadsheetml/2006/main">
  <c r="C22" i="2" l="1"/>
  <c r="C21" i="1"/>
  <c r="C23" i="1"/>
  <c r="C22" i="1"/>
  <c r="A64" i="1"/>
  <c r="C63" i="2"/>
  <c r="D72" i="1"/>
  <c r="D69" i="1"/>
  <c r="D68" i="1"/>
  <c r="D66" i="1"/>
  <c r="D64" i="1"/>
  <c r="D54" i="1"/>
  <c r="D47" i="1"/>
  <c r="C64" i="1"/>
  <c r="B83" i="1" l="1"/>
  <c r="C83" i="1" s="1"/>
  <c r="C73" i="1"/>
  <c r="D73" i="1" s="1"/>
  <c r="C72" i="1"/>
  <c r="C71" i="1"/>
  <c r="D71" i="1" s="1"/>
  <c r="C70" i="1"/>
  <c r="D70" i="1" s="1"/>
  <c r="C69" i="1"/>
  <c r="C68" i="1"/>
  <c r="C67" i="1"/>
  <c r="C66" i="1"/>
  <c r="C65" i="1"/>
  <c r="D65" i="1" s="1"/>
  <c r="C61" i="1"/>
  <c r="D61" i="1" s="1"/>
  <c r="C60" i="1"/>
  <c r="D60" i="1" s="1"/>
  <c r="C59" i="1"/>
  <c r="D59" i="1" s="1"/>
  <c r="C56" i="1"/>
  <c r="D56" i="1" s="1"/>
  <c r="C55" i="1"/>
  <c r="D55" i="1" s="1"/>
  <c r="C53" i="1"/>
  <c r="D53" i="1" s="1"/>
  <c r="C52" i="1"/>
  <c r="D52" i="1" s="1"/>
  <c r="C49" i="1"/>
  <c r="C20" i="1"/>
  <c r="C21" i="2"/>
  <c r="C20" i="2"/>
  <c r="C13" i="1"/>
  <c r="C13" i="2"/>
  <c r="D17" i="1"/>
  <c r="C47" i="1"/>
  <c r="C48" i="1" s="1"/>
  <c r="D48" i="1" s="1"/>
  <c r="C37" i="1"/>
  <c r="C74" i="1" l="1"/>
  <c r="D74" i="1" s="1"/>
  <c r="D67" i="1"/>
  <c r="C51" i="1"/>
  <c r="D51" i="1" s="1"/>
  <c r="D49" i="1"/>
  <c r="E83" i="1"/>
  <c r="D83" i="1"/>
  <c r="C7" i="1"/>
  <c r="B80" i="1" s="1"/>
  <c r="D80" i="1" s="1"/>
  <c r="C60" i="2"/>
  <c r="C59" i="2"/>
  <c r="C46" i="2"/>
  <c r="C47" i="2" s="1"/>
  <c r="D47" i="2" s="1"/>
  <c r="A46" i="2"/>
  <c r="D60" i="2" l="1"/>
  <c r="D59" i="2"/>
  <c r="C72" i="2"/>
  <c r="C71" i="2"/>
  <c r="C70" i="2"/>
  <c r="C69" i="2"/>
  <c r="C68" i="2"/>
  <c r="C67" i="2"/>
  <c r="C66" i="2"/>
  <c r="C65" i="2"/>
  <c r="C64" i="2"/>
  <c r="C58" i="2"/>
  <c r="D58" i="2" s="1"/>
  <c r="C73" i="2" l="1"/>
  <c r="B82" i="2"/>
  <c r="C7" i="2"/>
  <c r="B79" i="2" s="1"/>
  <c r="D79" i="2" s="1"/>
  <c r="B69" i="3"/>
  <c r="D69" i="3" s="1"/>
  <c r="J103" i="3"/>
  <c r="I103" i="3"/>
  <c r="J102" i="3"/>
  <c r="I102" i="3"/>
  <c r="J101" i="3"/>
  <c r="I101" i="3"/>
  <c r="J100" i="3"/>
  <c r="I100" i="3"/>
  <c r="I99" i="3"/>
  <c r="I97" i="3"/>
  <c r="I95" i="3"/>
  <c r="I94" i="3"/>
  <c r="C4" i="3"/>
  <c r="G98" i="3"/>
  <c r="J98" i="3" s="1"/>
  <c r="G99" i="3"/>
  <c r="J99" i="3" s="1"/>
  <c r="G97" i="3"/>
  <c r="J97" i="3" s="1"/>
  <c r="G95" i="3"/>
  <c r="J95" i="3" s="1"/>
  <c r="G96" i="3"/>
  <c r="J96" i="3" s="1"/>
  <c r="G94" i="3"/>
  <c r="J94" i="3" s="1"/>
  <c r="C72" i="3"/>
  <c r="J72" i="3"/>
  <c r="J70" i="3"/>
  <c r="J68" i="3"/>
  <c r="H73" i="3"/>
  <c r="J73" i="3" s="1"/>
  <c r="H72" i="3"/>
  <c r="H71" i="3"/>
  <c r="J71" i="3" s="1"/>
  <c r="H70" i="3"/>
  <c r="H69" i="3"/>
  <c r="J69" i="3" s="1"/>
  <c r="H68" i="3"/>
  <c r="C53" i="3"/>
  <c r="D53" i="3" s="1"/>
  <c r="C52" i="3"/>
  <c r="D52" i="3" s="1"/>
  <c r="C55" i="2"/>
  <c r="D55" i="2" s="1"/>
  <c r="C54" i="2"/>
  <c r="D54" i="2" s="1"/>
  <c r="C47" i="3"/>
  <c r="C13" i="3"/>
  <c r="D46" i="2"/>
  <c r="C48" i="2"/>
  <c r="D48" i="2" s="1"/>
  <c r="I96" i="3" l="1"/>
  <c r="I98" i="3"/>
  <c r="C82" i="2"/>
  <c r="D82" i="2" s="1"/>
  <c r="C21" i="3"/>
  <c r="C20" i="3"/>
  <c r="E82" i="2" l="1"/>
  <c r="C34" i="2"/>
  <c r="D72" i="2"/>
  <c r="D71" i="2"/>
  <c r="D70" i="2"/>
  <c r="D69" i="2"/>
  <c r="D68" i="2"/>
  <c r="D67" i="2"/>
  <c r="A67" i="2"/>
  <c r="D66" i="2"/>
  <c r="A66" i="2"/>
  <c r="D65" i="2"/>
  <c r="D64" i="2"/>
  <c r="D63" i="2"/>
  <c r="A63" i="2"/>
  <c r="C65" i="3"/>
  <c r="C62" i="3"/>
  <c r="D62" i="3" s="1"/>
  <c r="C63" i="3"/>
  <c r="D63" i="3" s="1"/>
  <c r="C64" i="3"/>
  <c r="D64" i="3" s="1"/>
  <c r="C61" i="3"/>
  <c r="D61" i="3" s="1"/>
  <c r="C60" i="3"/>
  <c r="D60" i="3" s="1"/>
  <c r="C59" i="3"/>
  <c r="D59" i="3" s="1"/>
  <c r="A59" i="3"/>
  <c r="C56" i="3"/>
  <c r="D56" i="3" s="1"/>
  <c r="C58" i="3"/>
  <c r="D58" i="3" s="1"/>
  <c r="A58" i="3"/>
  <c r="C57" i="3"/>
  <c r="D57" i="3" s="1"/>
  <c r="D17" i="2"/>
  <c r="D16" i="3"/>
  <c r="A15" i="3"/>
  <c r="A14" i="3"/>
  <c r="A55" i="3"/>
  <c r="C46" i="3"/>
  <c r="D46" i="3" s="1"/>
  <c r="C45" i="3"/>
  <c r="D45" i="3" s="1"/>
  <c r="A45" i="3"/>
  <c r="A10" i="3"/>
  <c r="D13" i="3"/>
  <c r="D15" i="3"/>
  <c r="C14" i="3"/>
  <c r="D14" i="3" s="1"/>
  <c r="C10" i="3"/>
  <c r="C32" i="3" s="1"/>
  <c r="D32" i="3" s="1"/>
  <c r="C55" i="3"/>
  <c r="D55" i="3" s="1"/>
  <c r="C8" i="3"/>
  <c r="C25" i="3" s="1"/>
  <c r="D25" i="3" s="1"/>
  <c r="D51" i="3"/>
  <c r="C50" i="3"/>
  <c r="D50" i="3" s="1"/>
  <c r="C49" i="3"/>
  <c r="D49" i="3" s="1"/>
  <c r="D43" i="3"/>
  <c r="D42" i="3"/>
  <c r="D41" i="3"/>
  <c r="D40" i="3"/>
  <c r="D39" i="3"/>
  <c r="D38" i="3"/>
  <c r="D37" i="3"/>
  <c r="D36" i="3"/>
  <c r="C35" i="3"/>
  <c r="D35" i="3" s="1"/>
  <c r="D30" i="3"/>
  <c r="C29" i="3"/>
  <c r="D29" i="3" s="1"/>
  <c r="C28" i="3"/>
  <c r="B28" i="3"/>
  <c r="D27" i="3"/>
  <c r="D23" i="3"/>
  <c r="D22" i="3"/>
  <c r="D21" i="3"/>
  <c r="D20" i="3"/>
  <c r="C19" i="3"/>
  <c r="D19" i="3" s="1"/>
  <c r="D17" i="3"/>
  <c r="C12" i="3"/>
  <c r="D12" i="3" s="1"/>
  <c r="D11" i="3"/>
  <c r="A11" i="3"/>
  <c r="D9" i="3"/>
  <c r="A9" i="3"/>
  <c r="D21" i="2"/>
  <c r="D22" i="2"/>
  <c r="C11" i="2"/>
  <c r="D11" i="2" s="1"/>
  <c r="D53" i="2"/>
  <c r="C52" i="2"/>
  <c r="D52" i="2" s="1"/>
  <c r="C51" i="2"/>
  <c r="D51" i="2" s="1"/>
  <c r="D44" i="2"/>
  <c r="D43" i="2"/>
  <c r="D42" i="2"/>
  <c r="D41" i="2"/>
  <c r="D40" i="2"/>
  <c r="D39" i="2"/>
  <c r="D38" i="2"/>
  <c r="D37" i="2"/>
  <c r="C36" i="2"/>
  <c r="D36" i="2" s="1"/>
  <c r="D31" i="2"/>
  <c r="C30" i="2"/>
  <c r="D30" i="2" s="1"/>
  <c r="C29" i="2"/>
  <c r="B29" i="2"/>
  <c r="D28" i="2"/>
  <c r="D24" i="2"/>
  <c r="D23" i="2"/>
  <c r="C25" i="2"/>
  <c r="D25" i="2" s="1"/>
  <c r="D18" i="2"/>
  <c r="C16" i="2"/>
  <c r="C49" i="2" s="1"/>
  <c r="C15" i="2"/>
  <c r="D15" i="2" s="1"/>
  <c r="D14" i="2"/>
  <c r="A14" i="2"/>
  <c r="A13" i="2"/>
  <c r="D12" i="2"/>
  <c r="A12" i="2"/>
  <c r="A13" i="1"/>
  <c r="A14" i="1"/>
  <c r="D37" i="1"/>
  <c r="D41" i="1"/>
  <c r="A12" i="1"/>
  <c r="D13" i="1"/>
  <c r="C31" i="1"/>
  <c r="D31" i="1" s="1"/>
  <c r="B30" i="1"/>
  <c r="C30" i="1"/>
  <c r="D23" i="1"/>
  <c r="D22" i="1"/>
  <c r="D20" i="1"/>
  <c r="C16" i="1"/>
  <c r="C15" i="1"/>
  <c r="D15" i="1" s="1"/>
  <c r="D12" i="1"/>
  <c r="C11" i="1"/>
  <c r="D45" i="1"/>
  <c r="D44" i="1"/>
  <c r="D43" i="1"/>
  <c r="D42" i="1"/>
  <c r="D40" i="1"/>
  <c r="D39" i="1"/>
  <c r="D38" i="1"/>
  <c r="D32" i="1"/>
  <c r="D29" i="1"/>
  <c r="D25" i="1"/>
  <c r="D24" i="1"/>
  <c r="D18" i="1"/>
  <c r="D14" i="1"/>
  <c r="D16" i="1" l="1"/>
  <c r="C50" i="1"/>
  <c r="D50" i="1" s="1"/>
  <c r="D11" i="1"/>
  <c r="C27" i="1"/>
  <c r="D27" i="1" s="1"/>
  <c r="D28" i="3"/>
  <c r="D30" i="1"/>
  <c r="C35" i="1"/>
  <c r="D35" i="1" s="1"/>
  <c r="C33" i="1"/>
  <c r="D33" i="1" s="1"/>
  <c r="C34" i="1"/>
  <c r="D34" i="1" s="1"/>
  <c r="D49" i="2"/>
  <c r="C50" i="2"/>
  <c r="D50" i="2" s="1"/>
  <c r="D73" i="2"/>
  <c r="C32" i="2"/>
  <c r="D32" i="2" s="1"/>
  <c r="C33" i="2"/>
  <c r="D33" i="2" s="1"/>
  <c r="D29" i="2"/>
  <c r="D65" i="3"/>
  <c r="D8" i="3"/>
  <c r="D47" i="3"/>
  <c r="C33" i="3"/>
  <c r="D33" i="3" s="1"/>
  <c r="C31" i="3"/>
  <c r="D31" i="3" s="1"/>
  <c r="D10" i="3"/>
  <c r="C24" i="3"/>
  <c r="D24" i="3" s="1"/>
  <c r="D34" i="2"/>
  <c r="D13" i="2"/>
  <c r="D20" i="2"/>
  <c r="D16" i="2"/>
  <c r="C26" i="2"/>
  <c r="D26" i="2" s="1"/>
  <c r="C26" i="1"/>
  <c r="D26" i="1" s="1"/>
  <c r="D77" i="1" l="1"/>
  <c r="D76" i="2"/>
  <c r="D66" i="3"/>
  <c r="D86" i="1" l="1"/>
  <c r="D88" i="1" s="1"/>
  <c r="D85" i="2"/>
  <c r="D87" i="2" s="1"/>
  <c r="D89" i="1" l="1"/>
  <c r="D88" i="2"/>
</calcChain>
</file>

<file path=xl/sharedStrings.xml><?xml version="1.0" encoding="utf-8"?>
<sst xmlns="http://schemas.openxmlformats.org/spreadsheetml/2006/main" count="289" uniqueCount="136">
  <si>
    <t>Shims</t>
  </si>
  <si>
    <t>Thermal &amp; Moisture control</t>
  </si>
  <si>
    <t>16 oz canned spray foam insulation</t>
  </si>
  <si>
    <t>Fasteners</t>
  </si>
  <si>
    <t>Lumber</t>
  </si>
  <si>
    <t>Materials</t>
  </si>
  <si>
    <t>Door knob with lock</t>
  </si>
  <si>
    <t>Concrete anchor bolts 5/16 x 3" (box of 50)</t>
  </si>
  <si>
    <t>36 x 80" pre-hung insulated steel entry door</t>
  </si>
  <si>
    <t>1-1/2" x 14.5" x 8' expanded Polystyrene</t>
  </si>
  <si>
    <t>3/4" x 14.5" x 8' expanded Polystyrene</t>
  </si>
  <si>
    <t>2 x 6 x 92-5/8" walls</t>
  </si>
  <si>
    <t>Electrical</t>
  </si>
  <si>
    <t>Foil Tape 2.5" x 50 yards</t>
  </si>
  <si>
    <t>Plastic cap nails 1# (~200 pc)</t>
  </si>
  <si>
    <t>Drill bit, 5/16 concrete</t>
  </si>
  <si>
    <t>1 gang plastic while in use Cover-clear</t>
  </si>
  <si>
    <t>1 gang New work adjustable Box</t>
  </si>
  <si>
    <t>15 amp GFCI Outlet (inside cooler for humidifier)</t>
  </si>
  <si>
    <t>20 amp decorator outlet (for Refrigeration unit)</t>
  </si>
  <si>
    <t>15 amp 1 pole switch</t>
  </si>
  <si>
    <t xml:space="preserve">Junction Box - 6x6x4 </t>
  </si>
  <si>
    <t>Screws, 2-1/2" coated exterior (105 pc/box)</t>
  </si>
  <si>
    <t>Screws, 1-5/8" coated exterior (180 pc/box)</t>
  </si>
  <si>
    <t>Nails, 16D common (50 pc/lb)</t>
  </si>
  <si>
    <t>Paint &amp; Finishes</t>
  </si>
  <si>
    <t>Reinforced Plastic Wall Paneling 4 x 8' x 0.09" (inside covering)</t>
  </si>
  <si>
    <t>unit cost*</t>
  </si>
  <si>
    <t>* Menards on-line 12-5-2013</t>
  </si>
  <si>
    <t>Quantity</t>
  </si>
  <si>
    <t>Ext. Cost</t>
  </si>
  <si>
    <t>Width (ft)</t>
  </si>
  <si>
    <t>Length (ft)</t>
  </si>
  <si>
    <t>1/2" 4x8 plywood sheathing CDX (outside)</t>
  </si>
  <si>
    <t>1/2" 4x8 plywood sheathing CDX (Inside)</t>
  </si>
  <si>
    <t>2 x 2 x 1/8" angle Iron (20 ft lengths)</t>
  </si>
  <si>
    <t>12-2 UF cable per ft</t>
  </si>
  <si>
    <t>2 gang vapor tight box</t>
  </si>
  <si>
    <t>2 gang Weather Proof toggle switch cover (light &amp; Humidifier)</t>
  </si>
  <si>
    <t>Tileboard Divider Molding 8ft</t>
  </si>
  <si>
    <t>Tileboard Endcap 8 ft</t>
  </si>
  <si>
    <t>Tileboard Inside Corner 8 ft</t>
  </si>
  <si>
    <t>Panel nails</t>
  </si>
  <si>
    <t>1" 4 x 8" close cell polystyrene foam board (pink/blue)</t>
  </si>
  <si>
    <t>1-1/2" x 48" x 8' expanded Polystyrene (white)</t>
  </si>
  <si>
    <t>2" x 48" x 8' expanded Polystyrene (white)</t>
  </si>
  <si>
    <t>Cooler Size</t>
  </si>
  <si>
    <t>Location</t>
  </si>
  <si>
    <t>Inside</t>
  </si>
  <si>
    <t>1-1/2" - 4 x 8" close cell polystyrene foam board (pink/blue)</t>
  </si>
  <si>
    <t>Refrigeration window framing - 2x8 x 10 ft</t>
  </si>
  <si>
    <t>1/2" 4x8 plywood sheathing CDX (outside roof gable ends)</t>
  </si>
  <si>
    <t>Gable Vents 12" x 12" Aluminum</t>
  </si>
  <si>
    <t>Steel Roofing Cap (10 ft)</t>
  </si>
  <si>
    <t>Roofing screws (~ 100 pc/lb)</t>
  </si>
  <si>
    <t>Steel Roofing (for side walls) - 10 ft</t>
  </si>
  <si>
    <t>J-channel 1-3/4 x 1 x 1 x 10 ft</t>
  </si>
  <si>
    <t>Grade Board trim (12 ft)</t>
  </si>
  <si>
    <t>Fascia (8' 6") (use around openings - door &amp; compressor)</t>
  </si>
  <si>
    <t>J-trim - plastic - 120"</t>
  </si>
  <si>
    <t>Roof and Siding</t>
  </si>
  <si>
    <t xml:space="preserve">1-1/2" x 48" x 8' expanded Polystyrene (white) </t>
  </si>
  <si>
    <t>Paint - Exterior primer</t>
  </si>
  <si>
    <t xml:space="preserve">Paint - Exterior </t>
  </si>
  <si>
    <t>Refrigeration system</t>
  </si>
  <si>
    <t>CoolBot</t>
  </si>
  <si>
    <t>6 x 8</t>
  </si>
  <si>
    <t>8 x8</t>
  </si>
  <si>
    <t>8x10</t>
  </si>
  <si>
    <t>8x12</t>
  </si>
  <si>
    <t>10x12</t>
  </si>
  <si>
    <t>10x14</t>
  </si>
  <si>
    <t>Btu/cu ft</t>
  </si>
  <si>
    <t>Volume</t>
  </si>
  <si>
    <t xml:space="preserve"> cu.ft.</t>
  </si>
  <si>
    <t>Btu</t>
  </si>
  <si>
    <t>Recommended Refrigeration system capacity *</t>
  </si>
  <si>
    <t>* Table 8, Refrigerated and Controlled Atmosphere Storage for horticultural crops, Bartsch, Blanpied</t>
  </si>
  <si>
    <t>Air conditioner - Recommended Size **</t>
  </si>
  <si>
    <t>** based on CoolBot website recommendations</t>
  </si>
  <si>
    <t>$</t>
  </si>
  <si>
    <t>Capcity Btu @90</t>
  </si>
  <si>
    <t>Est</t>
  </si>
  <si>
    <t>Air conditioner - Recommended Size ** Btu</t>
  </si>
  <si>
    <t>AC size</t>
  </si>
  <si>
    <t>Est Cost</t>
  </si>
  <si>
    <t>Rubber roofing membrane</t>
  </si>
  <si>
    <t>Flat Roof or Pitched roof?</t>
  </si>
  <si>
    <t>Seaming Kit</t>
  </si>
  <si>
    <t>Edge Strips</t>
  </si>
  <si>
    <t>w/ new commercial refr</t>
  </si>
  <si>
    <t>Height (ft)</t>
  </si>
  <si>
    <t>fixed</t>
  </si>
  <si>
    <t>Panel rivots 3/4" (or 1-1/2") box of 25</t>
  </si>
  <si>
    <t>Pole barn screws 1-1/2" (1 lb - ~ 100 screws)</t>
  </si>
  <si>
    <t>Outside</t>
  </si>
  <si>
    <t>Construction Materials</t>
  </si>
  <si>
    <t>w/ Coobot &amp; AC unit(s)</t>
  </si>
  <si>
    <t>Min AC unit size</t>
  </si>
  <si>
    <t>Estimated Labor (1 X material cost)</t>
  </si>
  <si>
    <t>Btu/hr</t>
  </si>
  <si>
    <t>Walk-in Cooler Material List Calculator</t>
  </si>
  <si>
    <t>Light Blue are input field that can be modified</t>
  </si>
  <si>
    <t>Yellow fields are calculations and can't be modified</t>
  </si>
  <si>
    <r>
      <t>This tool will determine the materials and quantity for an on-site built walk-in cooler with wall built with</t>
    </r>
    <r>
      <rPr>
        <b/>
        <sz val="10"/>
        <color theme="1"/>
        <rFont val="Arial"/>
        <family val="2"/>
      </rPr>
      <t xml:space="preserve"> studs 16 inches on center</t>
    </r>
    <r>
      <rPr>
        <sz val="10"/>
        <color theme="1"/>
        <rFont val="Arial"/>
        <family val="2"/>
      </rPr>
      <t>.</t>
    </r>
  </si>
  <si>
    <r>
      <t xml:space="preserve">This tool will determine the materials and quantity for an on-site built walk-in cooler with wall built with </t>
    </r>
    <r>
      <rPr>
        <b/>
        <sz val="10"/>
        <color theme="1"/>
        <rFont val="Arial"/>
        <family val="2"/>
      </rPr>
      <t>studs 24 inches on center.</t>
    </r>
  </si>
  <si>
    <t>unit cost</t>
  </si>
  <si>
    <t>Plastic corrigated panel (ceiling) 12 ft by 36 inch width</t>
  </si>
  <si>
    <t>Pitched Roof Material list</t>
  </si>
  <si>
    <t>2x4 x 12ft - Roof purlins</t>
  </si>
  <si>
    <t>Steel Roofing (coverage 36 inches) x 8 feet</t>
  </si>
  <si>
    <t>If "0" using roof truss</t>
  </si>
  <si>
    <t xml:space="preserve">2" thick, 48" x 96"  close cell polystyrene foam board </t>
  </si>
  <si>
    <t>Plastic cap nails 1# (~200 pc) (hold foam to wall)</t>
  </si>
  <si>
    <t>Foil Tape 2.5" x 50 yards (tape seals of foam board)</t>
  </si>
  <si>
    <t>Pitched</t>
  </si>
  <si>
    <t>This program was designed by Scott Sanford, Distinguished  Outreach Specialist, in the Department of Biological Systems Engineering at the University of Wisconsin - Madison. The program helps evaluated the energy costs to operate a cold storage facility.</t>
  </si>
  <si>
    <t>Troubleshooting</t>
  </si>
  <si>
    <t>If the program gives you an error or the results are not what was expected please contact Scott Sanford for help.</t>
  </si>
  <si>
    <r>
      <t>The accuracy of this program can not be guarantee</t>
    </r>
    <r>
      <rPr>
        <sz val="10"/>
        <rFont val="Arial"/>
        <family val="2"/>
      </rPr>
      <t xml:space="preserve"> for any particular facility but was design using the best information available at the time.</t>
    </r>
  </si>
  <si>
    <t>Conventions</t>
  </si>
  <si>
    <t>Cells colored yellow are calculations - cell can not be changed</t>
  </si>
  <si>
    <t>Cells colored in light blue are inputs and require input</t>
  </si>
  <si>
    <t>Contact Information</t>
  </si>
  <si>
    <t>Question about this tool should be directed to Scott Sanford. E-mail: sasanford@wisc.edu or 608-262-5062 (voice) or 608-262-1228 (fax).</t>
  </si>
  <si>
    <t>Mailing address:</t>
  </si>
  <si>
    <t>University of Wisconsin, Biological Systems Engineering, 460 Henry Mall, Madison, WI 53706</t>
  </si>
  <si>
    <t>Software Licensing information:</t>
  </si>
  <si>
    <t>For licensing rights for this program contact Scott Sanford at 608-262-5062 (voice) 608-262-1228 (Fax) or e-mail at sasanford@wisc.edu.</t>
  </si>
  <si>
    <t>This program can be used to evaluated the construction cost of a built in place cold storage room. Replace material costs in tool with current local prices for same or similar sized materials. Program is limited to an 8 foot height side wall. Wall construction is design to have 1 inch of Foam board insulation attached to the inside of the studs with 1/2" plywood sandwiching the foam boards to the studs and reinforced plastic paneling attached to the plywood. The remaining foam insulation is cut to size as required and placed inside the wall cavity to fill it. The ceiling uses a corrugated panel instead of a flat panel.</t>
  </si>
  <si>
    <t>NRG</t>
  </si>
  <si>
    <t>Inches</t>
  </si>
  <si>
    <t>Roof Truss Spacing (inches)</t>
  </si>
  <si>
    <t>1" x 4' x 8' close cell polystyrene foam board</t>
  </si>
  <si>
    <t>Copyright 2013-17 Scott Sanford</t>
  </si>
  <si>
    <t>Walk-in Cooler Material Estimator for on-site built cooler V1.11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</si>
</sst>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
    <numFmt numFmtId="165" formatCode="&quot;$&quot;#,##0.00"/>
  </numFmts>
  <fonts count="9" x14ac:knownFonts="1">
    <font>
      <sz val="10"/>
      <color theme="1"/>
      <name val="Arial"/>
      <family val="2"/>
    </font>
    <font>
      <b/>
      <sz val="10"/>
      <color theme="1"/>
      <name val="Arial"/>
      <family val="2"/>
    </font>
    <font>
      <sz val="10"/>
      <color rgb="FF000000"/>
      <name val="Arial"/>
      <family val="2"/>
    </font>
    <font>
      <sz val="10"/>
      <color theme="1"/>
      <name val="Arial"/>
      <family val="2"/>
    </font>
    <font>
      <sz val="14"/>
      <name val="Arial"/>
      <family val="2"/>
    </font>
    <font>
      <sz val="10"/>
      <name val="Arial"/>
      <family val="2"/>
    </font>
    <font>
      <b/>
      <sz val="12"/>
      <name val="Arial"/>
      <family val="2"/>
    </font>
    <font>
      <b/>
      <sz val="10"/>
      <name val="Arial"/>
      <family val="2"/>
    </font>
    <font>
      <b/>
      <u/>
      <sz val="10"/>
      <color theme="1"/>
      <name val="Arial"/>
      <family val="2"/>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s>
  <borders count="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3" fillId="0" borderId="0" applyFont="0" applyFill="0" applyBorder="0" applyAlignment="0" applyProtection="0"/>
  </cellStyleXfs>
  <cellXfs count="82">
    <xf numFmtId="0" fontId="0" fillId="0" borderId="0" xfId="0"/>
    <xf numFmtId="0" fontId="1" fillId="0" borderId="0" xfId="0" applyFont="1"/>
    <xf numFmtId="1" fontId="0" fillId="0" borderId="0" xfId="0" applyNumberFormat="1"/>
    <xf numFmtId="0" fontId="0" fillId="0" borderId="0" xfId="0" applyFont="1"/>
    <xf numFmtId="0" fontId="2" fillId="0" borderId="0" xfId="0" applyFont="1" applyAlignment="1">
      <alignment horizontal="center" vertical="center" readingOrder="1"/>
    </xf>
    <xf numFmtId="0" fontId="0" fillId="0" borderId="0" xfId="0" applyAlignment="1">
      <alignment horizontal="right"/>
    </xf>
    <xf numFmtId="1" fontId="2" fillId="0" borderId="0" xfId="0" applyNumberFormat="1" applyFont="1" applyAlignment="1">
      <alignment horizontal="center" vertical="center" readingOrder="1"/>
    </xf>
    <xf numFmtId="0" fontId="0" fillId="0" borderId="0" xfId="0" applyAlignment="1">
      <alignment wrapText="1"/>
    </xf>
    <xf numFmtId="164" fontId="0" fillId="0" borderId="0" xfId="0" applyNumberFormat="1"/>
    <xf numFmtId="0" fontId="0" fillId="0" borderId="0" xfId="0" applyProtection="1">
      <protection hidden="1"/>
    </xf>
    <xf numFmtId="0" fontId="0" fillId="0" borderId="0" xfId="0" applyAlignment="1" applyProtection="1">
      <alignment horizontal="right"/>
      <protection hidden="1"/>
    </xf>
    <xf numFmtId="0" fontId="1" fillId="0" borderId="0" xfId="0" applyFont="1" applyProtection="1">
      <protection hidden="1"/>
    </xf>
    <xf numFmtId="0" fontId="0" fillId="3" borderId="0" xfId="0" applyFill="1" applyProtection="1">
      <protection hidden="1"/>
    </xf>
    <xf numFmtId="165" fontId="0" fillId="0" borderId="0" xfId="0" applyNumberFormat="1" applyProtection="1">
      <protection hidden="1"/>
    </xf>
    <xf numFmtId="0" fontId="0" fillId="0" borderId="0" xfId="0" applyFont="1" applyProtection="1">
      <protection hidden="1"/>
    </xf>
    <xf numFmtId="0" fontId="0" fillId="0" borderId="0" xfId="0" applyFont="1" applyAlignment="1" applyProtection="1">
      <alignment horizontal="right"/>
      <protection hidden="1"/>
    </xf>
    <xf numFmtId="0" fontId="0" fillId="3" borderId="0" xfId="0" applyFill="1" applyAlignment="1" applyProtection="1">
      <alignment horizontal="right"/>
      <protection hidden="1"/>
    </xf>
    <xf numFmtId="164" fontId="0" fillId="3" borderId="0" xfId="0" applyNumberFormat="1" applyFill="1" applyProtection="1">
      <protection hidden="1"/>
    </xf>
    <xf numFmtId="0" fontId="2" fillId="3" borderId="0" xfId="0" applyFont="1" applyFill="1" applyAlignment="1" applyProtection="1">
      <alignment horizontal="center" vertical="center" readingOrder="1"/>
      <protection hidden="1"/>
    </xf>
    <xf numFmtId="0" fontId="0" fillId="0" borderId="0" xfId="0" applyAlignment="1" applyProtection="1">
      <alignment wrapText="1"/>
      <protection hidden="1"/>
    </xf>
    <xf numFmtId="0" fontId="0" fillId="2" borderId="0" xfId="0" applyFill="1" applyProtection="1">
      <protection hidden="1"/>
    </xf>
    <xf numFmtId="0" fontId="0" fillId="3" borderId="1" xfId="0" applyFill="1" applyBorder="1" applyProtection="1">
      <protection hidden="1"/>
    </xf>
    <xf numFmtId="0" fontId="0" fillId="0" borderId="2" xfId="0" applyBorder="1" applyProtection="1">
      <protection hidden="1"/>
    </xf>
    <xf numFmtId="0" fontId="0" fillId="0" borderId="3" xfId="0" applyBorder="1" applyProtection="1">
      <protection hidden="1"/>
    </xf>
    <xf numFmtId="165" fontId="0" fillId="2" borderId="0" xfId="0" applyNumberFormat="1" applyFill="1" applyProtection="1">
      <protection locked="0"/>
    </xf>
    <xf numFmtId="0" fontId="0" fillId="2" borderId="0" xfId="0" applyFill="1" applyProtection="1">
      <protection locked="0"/>
    </xf>
    <xf numFmtId="0" fontId="0" fillId="0" borderId="0" xfId="0" applyAlignment="1" applyProtection="1">
      <alignment horizontal="center"/>
      <protection hidden="1"/>
    </xf>
    <xf numFmtId="165" fontId="0" fillId="0" borderId="0" xfId="0" applyNumberFormat="1" applyProtection="1">
      <protection locked="0"/>
    </xf>
    <xf numFmtId="0" fontId="0" fillId="2" borderId="0" xfId="0" applyFill="1" applyAlignment="1" applyProtection="1">
      <alignment horizontal="center"/>
      <protection locked="0"/>
    </xf>
    <xf numFmtId="0" fontId="0" fillId="3" borderId="0" xfId="0" applyFill="1" applyAlignment="1" applyProtection="1">
      <alignment horizontal="center"/>
      <protection hidden="1"/>
    </xf>
    <xf numFmtId="0" fontId="0" fillId="0" borderId="0" xfId="0"/>
    <xf numFmtId="0" fontId="0" fillId="0" borderId="0" xfId="0" applyProtection="1">
      <protection hidden="1"/>
    </xf>
    <xf numFmtId="0" fontId="1" fillId="0" borderId="0" xfId="0" applyFont="1" applyProtection="1">
      <protection hidden="1"/>
    </xf>
    <xf numFmtId="0" fontId="0" fillId="3" borderId="0" xfId="0" applyFill="1" applyProtection="1">
      <protection hidden="1"/>
    </xf>
    <xf numFmtId="165" fontId="0" fillId="0" borderId="0" xfId="0" applyNumberFormat="1" applyProtection="1">
      <protection hidden="1"/>
    </xf>
    <xf numFmtId="0" fontId="0" fillId="0" borderId="0" xfId="0" applyFont="1" applyProtection="1">
      <protection hidden="1"/>
    </xf>
    <xf numFmtId="0" fontId="0" fillId="0" borderId="0" xfId="0" applyFont="1" applyAlignment="1" applyProtection="1">
      <alignment horizontal="right"/>
      <protection hidden="1"/>
    </xf>
    <xf numFmtId="0" fontId="0" fillId="3" borderId="0" xfId="0" applyFill="1" applyAlignment="1" applyProtection="1">
      <alignment horizontal="right"/>
      <protection hidden="1"/>
    </xf>
    <xf numFmtId="0" fontId="0" fillId="0" borderId="0" xfId="0" applyAlignment="1" applyProtection="1">
      <alignment wrapText="1"/>
      <protection hidden="1"/>
    </xf>
    <xf numFmtId="0" fontId="0" fillId="0" borderId="2" xfId="0" applyBorder="1" applyProtection="1">
      <protection hidden="1"/>
    </xf>
    <xf numFmtId="0" fontId="0" fillId="0" borderId="3" xfId="0" applyBorder="1" applyProtection="1">
      <protection hidden="1"/>
    </xf>
    <xf numFmtId="0" fontId="0" fillId="0" borderId="0" xfId="0" applyAlignment="1" applyProtection="1">
      <alignment horizontal="center"/>
      <protection hidden="1"/>
    </xf>
    <xf numFmtId="0" fontId="0" fillId="0" borderId="0" xfId="0"/>
    <xf numFmtId="165" fontId="0" fillId="2" borderId="0" xfId="0" applyNumberFormat="1" applyFill="1" applyProtection="1">
      <protection locked="0"/>
    </xf>
    <xf numFmtId="0" fontId="0" fillId="0" borderId="0" xfId="0" applyProtection="1">
      <protection hidden="1"/>
    </xf>
    <xf numFmtId="0" fontId="0" fillId="0" borderId="0" xfId="0"/>
    <xf numFmtId="0" fontId="0" fillId="3" borderId="0" xfId="0" applyFill="1" applyProtection="1">
      <protection hidden="1"/>
    </xf>
    <xf numFmtId="0" fontId="0" fillId="3" borderId="0" xfId="0" applyFill="1" applyAlignment="1" applyProtection="1">
      <alignment horizontal="center"/>
      <protection hidden="1"/>
    </xf>
    <xf numFmtId="0" fontId="0" fillId="0" borderId="0" xfId="0" applyFill="1"/>
    <xf numFmtId="165" fontId="0" fillId="3" borderId="0" xfId="0" applyNumberFormat="1" applyFill="1"/>
    <xf numFmtId="1" fontId="0" fillId="3" borderId="0" xfId="0" applyNumberFormat="1" applyFill="1" applyAlignment="1">
      <alignment horizontal="center"/>
    </xf>
    <xf numFmtId="0" fontId="0" fillId="3" borderId="0" xfId="0" applyFill="1" applyAlignment="1">
      <alignment horizontal="center"/>
    </xf>
    <xf numFmtId="0" fontId="0" fillId="0" borderId="0" xfId="0" applyAlignment="1">
      <alignment horizontal="center"/>
    </xf>
    <xf numFmtId="165" fontId="0" fillId="3" borderId="0" xfId="0" applyNumberFormat="1" applyFill="1" applyAlignment="1">
      <alignment horizontal="right"/>
    </xf>
    <xf numFmtId="165" fontId="0" fillId="3" borderId="0" xfId="0" applyNumberFormat="1" applyFill="1" applyProtection="1">
      <protection hidden="1"/>
    </xf>
    <xf numFmtId="7" fontId="0" fillId="3" borderId="0" xfId="1" applyNumberFormat="1" applyFont="1" applyFill="1" applyProtection="1">
      <protection hidden="1"/>
    </xf>
    <xf numFmtId="164" fontId="0" fillId="2" borderId="0" xfId="0" applyNumberFormat="1" applyFill="1" applyProtection="1">
      <protection locked="0"/>
    </xf>
    <xf numFmtId="0" fontId="0" fillId="0" borderId="0" xfId="0" applyProtection="1">
      <protection hidden="1"/>
    </xf>
    <xf numFmtId="0" fontId="0" fillId="3" borderId="0" xfId="0" applyFill="1" applyProtection="1">
      <protection hidden="1"/>
    </xf>
    <xf numFmtId="165" fontId="0" fillId="2" borderId="0" xfId="0" applyNumberFormat="1" applyFill="1" applyProtection="1">
      <protection locked="0"/>
    </xf>
    <xf numFmtId="0" fontId="0" fillId="3" borderId="0" xfId="0" applyFill="1" applyAlignment="1" applyProtection="1">
      <alignment horizontal="center"/>
      <protection hidden="1"/>
    </xf>
    <xf numFmtId="0" fontId="0" fillId="0" borderId="0" xfId="0"/>
    <xf numFmtId="0" fontId="0" fillId="0" borderId="0" xfId="0" applyAlignment="1">
      <alignment wrapText="1"/>
    </xf>
    <xf numFmtId="0" fontId="0" fillId="3" borderId="0" xfId="0" applyFill="1" applyProtection="1">
      <protection hidden="1"/>
    </xf>
    <xf numFmtId="164" fontId="0" fillId="3" borderId="0" xfId="0" applyNumberFormat="1" applyFill="1" applyProtection="1">
      <protection hidden="1"/>
    </xf>
    <xf numFmtId="0" fontId="2" fillId="3" borderId="0" xfId="0" applyFont="1" applyFill="1" applyAlignment="1" applyProtection="1">
      <alignment horizontal="center" vertical="center" readingOrder="1"/>
      <protection hidden="1"/>
    </xf>
    <xf numFmtId="0" fontId="0" fillId="3" borderId="1" xfId="0" applyFill="1" applyBorder="1" applyProtection="1">
      <protection hidden="1"/>
    </xf>
    <xf numFmtId="0" fontId="0" fillId="3" borderId="0" xfId="0" applyFill="1" applyAlignment="1" applyProtection="1">
      <alignment horizontal="center"/>
      <protection hidden="1"/>
    </xf>
    <xf numFmtId="165" fontId="0" fillId="2" borderId="0" xfId="0" applyNumberFormat="1" applyFill="1" applyAlignment="1" applyProtection="1">
      <alignment horizontal="center"/>
      <protection locked="0"/>
    </xf>
    <xf numFmtId="0" fontId="4" fillId="0" borderId="0" xfId="0" applyFont="1"/>
    <xf numFmtId="0" fontId="5" fillId="0" borderId="0" xfId="0" applyFont="1" applyAlignment="1">
      <alignment wrapText="1"/>
    </xf>
    <xf numFmtId="0" fontId="6" fillId="0" borderId="0" xfId="0" applyFont="1"/>
    <xf numFmtId="0" fontId="7" fillId="0" borderId="0" xfId="0" applyFont="1" applyAlignment="1">
      <alignment wrapText="1"/>
    </xf>
    <xf numFmtId="0" fontId="0" fillId="4" borderId="0" xfId="0" applyFill="1"/>
    <xf numFmtId="0" fontId="0" fillId="5" borderId="0" xfId="0" applyFill="1"/>
    <xf numFmtId="0" fontId="5" fillId="0" borderId="0" xfId="0" applyFont="1"/>
    <xf numFmtId="3" fontId="0" fillId="2" borderId="0" xfId="0" applyNumberFormat="1" applyFill="1" applyAlignment="1" applyProtection="1">
      <alignment horizontal="center"/>
      <protection locked="0"/>
    </xf>
    <xf numFmtId="3" fontId="0" fillId="2" borderId="0" xfId="0" applyNumberFormat="1" applyFont="1" applyFill="1" applyAlignment="1" applyProtection="1">
      <alignment horizontal="center"/>
      <protection locked="0"/>
    </xf>
    <xf numFmtId="0" fontId="0" fillId="0" borderId="0" xfId="0" applyFont="1" applyAlignment="1">
      <alignment horizontal="center"/>
    </xf>
    <xf numFmtId="0" fontId="8" fillId="0" borderId="0" xfId="0" applyFont="1" applyProtection="1">
      <protection hidden="1"/>
    </xf>
    <xf numFmtId="1" fontId="0" fillId="3" borderId="0" xfId="0" applyNumberFormat="1" applyFill="1" applyAlignment="1" applyProtection="1">
      <alignment horizontal="center"/>
      <protection hidden="1"/>
    </xf>
    <xf numFmtId="0" fontId="0" fillId="0" borderId="0" xfId="0" applyAlignment="1" applyProtection="1">
      <alignment horizontal="left" wrapText="1"/>
      <protection hidden="1"/>
    </xf>
  </cellXfs>
  <cellStyles count="2">
    <cellStyle name="Currency" xfId="1" builtinId="4"/>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inear"/>
            <c:dispRSqr val="0"/>
            <c:dispEq val="1"/>
            <c:trendlineLbl>
              <c:numFmt formatCode="General" sourceLinked="0"/>
            </c:trendlineLbl>
          </c:trendline>
          <c:xVal>
            <c:numRef>
              <c:f>'48"OC walls'!$L$68:$L$72</c:f>
              <c:numCache>
                <c:formatCode>General</c:formatCode>
                <c:ptCount val="5"/>
                <c:pt idx="0">
                  <c:v>10000</c:v>
                </c:pt>
                <c:pt idx="1">
                  <c:v>12000</c:v>
                </c:pt>
                <c:pt idx="2">
                  <c:v>14000</c:v>
                </c:pt>
                <c:pt idx="3">
                  <c:v>18000</c:v>
                </c:pt>
                <c:pt idx="4">
                  <c:v>24000</c:v>
                </c:pt>
              </c:numCache>
            </c:numRef>
          </c:xVal>
          <c:yVal>
            <c:numRef>
              <c:f>'48"OC walls'!$M$68:$M$72</c:f>
              <c:numCache>
                <c:formatCode>General</c:formatCode>
                <c:ptCount val="5"/>
                <c:pt idx="0">
                  <c:v>269</c:v>
                </c:pt>
                <c:pt idx="1">
                  <c:v>319</c:v>
                </c:pt>
                <c:pt idx="2">
                  <c:v>399</c:v>
                </c:pt>
                <c:pt idx="3">
                  <c:v>499</c:v>
                </c:pt>
                <c:pt idx="4">
                  <c:v>599</c:v>
                </c:pt>
              </c:numCache>
            </c:numRef>
          </c:yVal>
          <c:smooth val="1"/>
          <c:extLst>
            <c:ext xmlns:c16="http://schemas.microsoft.com/office/drawing/2014/chart" uri="{C3380CC4-5D6E-409C-BE32-E72D297353CC}">
              <c16:uniqueId val="{00000000-78BE-4F2F-A8D2-52ECABDC5F4F}"/>
            </c:ext>
          </c:extLst>
        </c:ser>
        <c:dLbls>
          <c:showLegendKey val="0"/>
          <c:showVal val="0"/>
          <c:showCatName val="0"/>
          <c:showSerName val="0"/>
          <c:showPercent val="0"/>
          <c:showBubbleSize val="0"/>
        </c:dLbls>
        <c:axId val="56485376"/>
        <c:axId val="56487296"/>
      </c:scatterChart>
      <c:valAx>
        <c:axId val="56485376"/>
        <c:scaling>
          <c:orientation val="minMax"/>
        </c:scaling>
        <c:delete val="0"/>
        <c:axPos val="b"/>
        <c:numFmt formatCode="General" sourceLinked="1"/>
        <c:majorTickMark val="out"/>
        <c:minorTickMark val="none"/>
        <c:tickLblPos val="nextTo"/>
        <c:crossAx val="56487296"/>
        <c:crosses val="autoZero"/>
        <c:crossBetween val="midCat"/>
      </c:valAx>
      <c:valAx>
        <c:axId val="56487296"/>
        <c:scaling>
          <c:orientation val="minMax"/>
        </c:scaling>
        <c:delete val="0"/>
        <c:axPos val="l"/>
        <c:majorGridlines/>
        <c:numFmt formatCode="General" sourceLinked="1"/>
        <c:majorTickMark val="out"/>
        <c:minorTickMark val="none"/>
        <c:tickLblPos val="nextTo"/>
        <c:crossAx val="564853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power"/>
            <c:dispRSqr val="0"/>
            <c:dispEq val="1"/>
            <c:trendlineLbl>
              <c:numFmt formatCode="General" sourceLinked="0"/>
            </c:trendlineLbl>
          </c:trendline>
          <c:xVal>
            <c:numRef>
              <c:f>'48"OC walls'!$G$94:$G$103</c:f>
              <c:numCache>
                <c:formatCode>General</c:formatCode>
                <c:ptCount val="10"/>
                <c:pt idx="0">
                  <c:v>324</c:v>
                </c:pt>
                <c:pt idx="1">
                  <c:v>576</c:v>
                </c:pt>
                <c:pt idx="2">
                  <c:v>648</c:v>
                </c:pt>
                <c:pt idx="3">
                  <c:v>864</c:v>
                </c:pt>
                <c:pt idx="4">
                  <c:v>900</c:v>
                </c:pt>
                <c:pt idx="5">
                  <c:v>1152</c:v>
                </c:pt>
                <c:pt idx="6">
                  <c:v>1296</c:v>
                </c:pt>
                <c:pt idx="7">
                  <c:v>1350</c:v>
                </c:pt>
                <c:pt idx="8">
                  <c:v>2160</c:v>
                </c:pt>
                <c:pt idx="9">
                  <c:v>3600</c:v>
                </c:pt>
              </c:numCache>
            </c:numRef>
          </c:xVal>
          <c:yVal>
            <c:numRef>
              <c:f>'48"OC walls'!$H$94:$H$103</c:f>
              <c:numCache>
                <c:formatCode>General</c:formatCode>
                <c:ptCount val="10"/>
                <c:pt idx="0">
                  <c:v>2800</c:v>
                </c:pt>
                <c:pt idx="1">
                  <c:v>4100</c:v>
                </c:pt>
                <c:pt idx="2">
                  <c:v>4500</c:v>
                </c:pt>
                <c:pt idx="3">
                  <c:v>5500</c:v>
                </c:pt>
                <c:pt idx="4">
                  <c:v>5600</c:v>
                </c:pt>
                <c:pt idx="5">
                  <c:v>7100</c:v>
                </c:pt>
                <c:pt idx="6">
                  <c:v>7700</c:v>
                </c:pt>
                <c:pt idx="7">
                  <c:v>7900</c:v>
                </c:pt>
                <c:pt idx="8">
                  <c:v>9800</c:v>
                </c:pt>
                <c:pt idx="9">
                  <c:v>15800</c:v>
                </c:pt>
              </c:numCache>
            </c:numRef>
          </c:yVal>
          <c:smooth val="1"/>
          <c:extLst>
            <c:ext xmlns:c16="http://schemas.microsoft.com/office/drawing/2014/chart" uri="{C3380CC4-5D6E-409C-BE32-E72D297353CC}">
              <c16:uniqueId val="{00000000-0716-4952-807A-CF74D1102646}"/>
            </c:ext>
          </c:extLst>
        </c:ser>
        <c:dLbls>
          <c:showLegendKey val="0"/>
          <c:showVal val="0"/>
          <c:showCatName val="0"/>
          <c:showSerName val="0"/>
          <c:showPercent val="0"/>
          <c:showBubbleSize val="0"/>
        </c:dLbls>
        <c:axId val="80777984"/>
        <c:axId val="80779904"/>
      </c:scatterChart>
      <c:valAx>
        <c:axId val="80777984"/>
        <c:scaling>
          <c:orientation val="minMax"/>
        </c:scaling>
        <c:delete val="0"/>
        <c:axPos val="b"/>
        <c:numFmt formatCode="General" sourceLinked="1"/>
        <c:majorTickMark val="out"/>
        <c:minorTickMark val="none"/>
        <c:tickLblPos val="nextTo"/>
        <c:crossAx val="80779904"/>
        <c:crosses val="autoZero"/>
        <c:crossBetween val="midCat"/>
      </c:valAx>
      <c:valAx>
        <c:axId val="80779904"/>
        <c:scaling>
          <c:orientation val="minMax"/>
        </c:scaling>
        <c:delete val="0"/>
        <c:axPos val="l"/>
        <c:majorGridlines/>
        <c:numFmt formatCode="General" sourceLinked="1"/>
        <c:majorTickMark val="out"/>
        <c:minorTickMark val="none"/>
        <c:tickLblPos val="nextTo"/>
        <c:crossAx val="807779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inear"/>
            <c:dispRSqr val="0"/>
            <c:dispEq val="1"/>
            <c:trendlineLbl>
              <c:numFmt formatCode="General" sourceLinked="0"/>
            </c:trendlineLbl>
          </c:trendline>
          <c:xVal>
            <c:numRef>
              <c:f>'48"OC walls'!$L$94:$L$97</c:f>
              <c:numCache>
                <c:formatCode>General</c:formatCode>
                <c:ptCount val="4"/>
                <c:pt idx="0">
                  <c:v>6860</c:v>
                </c:pt>
                <c:pt idx="1">
                  <c:v>8928</c:v>
                </c:pt>
                <c:pt idx="2">
                  <c:v>12859</c:v>
                </c:pt>
                <c:pt idx="3">
                  <c:v>14545</c:v>
                </c:pt>
              </c:numCache>
            </c:numRef>
          </c:xVal>
          <c:yVal>
            <c:numRef>
              <c:f>'48"OC walls'!$M$94:$M$97</c:f>
              <c:numCache>
                <c:formatCode>General</c:formatCode>
                <c:ptCount val="4"/>
                <c:pt idx="0">
                  <c:v>2845</c:v>
                </c:pt>
                <c:pt idx="1">
                  <c:v>2998</c:v>
                </c:pt>
                <c:pt idx="2">
                  <c:v>3408</c:v>
                </c:pt>
                <c:pt idx="3">
                  <c:v>3679</c:v>
                </c:pt>
              </c:numCache>
            </c:numRef>
          </c:yVal>
          <c:smooth val="1"/>
          <c:extLst>
            <c:ext xmlns:c16="http://schemas.microsoft.com/office/drawing/2014/chart" uri="{C3380CC4-5D6E-409C-BE32-E72D297353CC}">
              <c16:uniqueId val="{00000000-5A8C-456A-8E58-3D4B20B5B38C}"/>
            </c:ext>
          </c:extLst>
        </c:ser>
        <c:dLbls>
          <c:showLegendKey val="0"/>
          <c:showVal val="0"/>
          <c:showCatName val="0"/>
          <c:showSerName val="0"/>
          <c:showPercent val="0"/>
          <c:showBubbleSize val="0"/>
        </c:dLbls>
        <c:axId val="90742144"/>
        <c:axId val="90761472"/>
      </c:scatterChart>
      <c:valAx>
        <c:axId val="90742144"/>
        <c:scaling>
          <c:orientation val="minMax"/>
        </c:scaling>
        <c:delete val="0"/>
        <c:axPos val="b"/>
        <c:numFmt formatCode="General" sourceLinked="1"/>
        <c:majorTickMark val="out"/>
        <c:minorTickMark val="none"/>
        <c:tickLblPos val="nextTo"/>
        <c:crossAx val="90761472"/>
        <c:crosses val="autoZero"/>
        <c:crossBetween val="midCat"/>
      </c:valAx>
      <c:valAx>
        <c:axId val="90761472"/>
        <c:scaling>
          <c:orientation val="minMax"/>
        </c:scaling>
        <c:delete val="0"/>
        <c:axPos val="l"/>
        <c:majorGridlines/>
        <c:numFmt formatCode="General" sourceLinked="1"/>
        <c:majorTickMark val="out"/>
        <c:minorTickMark val="none"/>
        <c:tickLblPos val="nextTo"/>
        <c:crossAx val="90742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102870</xdr:rowOff>
    </xdr:from>
    <xdr:to>
      <xdr:col>0</xdr:col>
      <xdr:colOff>3181350</xdr:colOff>
      <xdr:row>4</xdr:row>
      <xdr:rowOff>150495</xdr:rowOff>
    </xdr:to>
    <xdr:pic>
      <xdr:nvPicPr>
        <xdr:cNvPr id="2" name="Picture 3" descr="cals-logo_4-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02870"/>
          <a:ext cx="2762250" cy="718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3604260</xdr:colOff>
      <xdr:row>0</xdr:row>
      <xdr:rowOff>30480</xdr:rowOff>
    </xdr:from>
    <xdr:to>
      <xdr:col>0</xdr:col>
      <xdr:colOff>4648200</xdr:colOff>
      <xdr:row>5</xdr:row>
      <xdr:rowOff>154112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4260" y="30480"/>
          <a:ext cx="1043940" cy="961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518160</xdr:colOff>
      <xdr:row>73</xdr:row>
      <xdr:rowOff>137160</xdr:rowOff>
    </xdr:from>
    <xdr:to>
      <xdr:col>13</xdr:col>
      <xdr:colOff>213360</xdr:colOff>
      <xdr:row>90</xdr:row>
      <xdr:rowOff>30480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1676400</xdr:colOff>
      <xdr:row>91</xdr:row>
      <xdr:rowOff>15240</xdr:rowOff>
    </xdr:from>
    <xdr:to>
      <xdr:col>5</xdr:col>
      <xdr:colOff>457200</xdr:colOff>
      <xdr:row>107</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640080</xdr:colOff>
      <xdr:row>100</xdr:row>
      <xdr:rowOff>22860</xdr:rowOff>
    </xdr:from>
    <xdr:to>
      <xdr:col>4</xdr:col>
      <xdr:colOff>30480</xdr:colOff>
      <xdr:row>116</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33"/>
  <sheetViews>
    <sheetView tabSelected="1" workbookViewId="0">
      <selection activeCell="A7" sqref="A7"/>
    </sheetView>
  </sheetViews>
  <sheetFormatPr defaultRowHeight="12.75" x14ac:dyDescent="0.2"/>
  <cols>
    <col min="1" max="1" width="80.140625" customWidth="1"/>
  </cols>
  <sheetData>
    <row r="7" spans="1:1" ht="18" x14ac:dyDescent="0.25">
      <c r="A7" s="69" t="s">
        <v>135</v>
      </c>
    </row>
    <row r="8" spans="1:1" ht="38.25" x14ac:dyDescent="0.2">
      <c r="A8" s="70" t="s">
        <v>116</v>
      </c>
    </row>
    <row r="9" spans="1:1" x14ac:dyDescent="0.2">
      <c r="A9" s="61"/>
    </row>
    <row r="10" spans="1:1" ht="89.25" x14ac:dyDescent="0.2">
      <c r="A10" s="70" t="s">
        <v>129</v>
      </c>
    </row>
    <row r="11" spans="1:1" x14ac:dyDescent="0.2">
      <c r="A11" s="61"/>
    </row>
    <row r="12" spans="1:1" ht="15.75" x14ac:dyDescent="0.25">
      <c r="A12" s="71" t="s">
        <v>117</v>
      </c>
    </row>
    <row r="13" spans="1:1" ht="25.5" x14ac:dyDescent="0.2">
      <c r="A13" s="62" t="s">
        <v>118</v>
      </c>
    </row>
    <row r="14" spans="1:1" x14ac:dyDescent="0.2">
      <c r="A14" s="61"/>
    </row>
    <row r="15" spans="1:1" ht="25.5" x14ac:dyDescent="0.2">
      <c r="A15" s="72" t="s">
        <v>119</v>
      </c>
    </row>
    <row r="16" spans="1:1" x14ac:dyDescent="0.2">
      <c r="A16" s="61"/>
    </row>
    <row r="17" spans="1:1" ht="15.75" x14ac:dyDescent="0.25">
      <c r="A17" s="71" t="s">
        <v>120</v>
      </c>
    </row>
    <row r="18" spans="1:1" x14ac:dyDescent="0.2">
      <c r="A18" s="73" t="s">
        <v>121</v>
      </c>
    </row>
    <row r="19" spans="1:1" x14ac:dyDescent="0.2">
      <c r="A19" s="74" t="s">
        <v>122</v>
      </c>
    </row>
    <row r="20" spans="1:1" x14ac:dyDescent="0.2">
      <c r="A20" s="48"/>
    </row>
    <row r="21" spans="1:1" ht="15.75" x14ac:dyDescent="0.25">
      <c r="A21" s="71" t="s">
        <v>123</v>
      </c>
    </row>
    <row r="22" spans="1:1" ht="25.5" x14ac:dyDescent="0.2">
      <c r="A22" s="62" t="s">
        <v>124</v>
      </c>
    </row>
    <row r="23" spans="1:1" x14ac:dyDescent="0.2">
      <c r="A23" s="61"/>
    </row>
    <row r="24" spans="1:1" x14ac:dyDescent="0.2">
      <c r="A24" s="61" t="s">
        <v>125</v>
      </c>
    </row>
    <row r="25" spans="1:1" x14ac:dyDescent="0.2">
      <c r="A25" s="61" t="s">
        <v>126</v>
      </c>
    </row>
    <row r="26" spans="1:1" x14ac:dyDescent="0.2">
      <c r="A26" s="61"/>
    </row>
    <row r="27" spans="1:1" x14ac:dyDescent="0.2">
      <c r="A27" s="75" t="s">
        <v>134</v>
      </c>
    </row>
    <row r="28" spans="1:1" x14ac:dyDescent="0.2">
      <c r="A28" s="61"/>
    </row>
    <row r="29" spans="1:1" x14ac:dyDescent="0.2">
      <c r="A29" s="61" t="s">
        <v>127</v>
      </c>
    </row>
    <row r="30" spans="1:1" ht="25.5" x14ac:dyDescent="0.2">
      <c r="A30" s="62" t="s">
        <v>128</v>
      </c>
    </row>
    <row r="33" spans="1:1" x14ac:dyDescent="0.2">
      <c r="A33" t="s">
        <v>130</v>
      </c>
    </row>
  </sheetData>
  <sheetProtection algorithmName="SHA-512" hashValue="0vOeuav2kpYv28Lotd9RMk9bHp71GoeaKPifyunZZtQTmymr8KEPBU81ojRMaGylVckv4JIqTedDZ187b8WE2Q==" saltValue="wdMuWJOyQGDi/8V9jhoIV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opLeftCell="A63" workbookViewId="0">
      <selection activeCell="J81" sqref="J81:J87"/>
    </sheetView>
  </sheetViews>
  <sheetFormatPr defaultRowHeight="12.75" x14ac:dyDescent="0.2"/>
  <cols>
    <col min="1" max="1" width="53.28515625" customWidth="1"/>
  </cols>
  <sheetData>
    <row r="1" spans="1:5" x14ac:dyDescent="0.2">
      <c r="A1" s="9" t="s">
        <v>101</v>
      </c>
      <c r="B1" s="9"/>
      <c r="C1" s="9"/>
      <c r="D1" s="9"/>
    </row>
    <row r="2" spans="1:5" ht="27.6" customHeight="1" x14ac:dyDescent="0.2">
      <c r="A2" s="81" t="s">
        <v>104</v>
      </c>
      <c r="B2" s="81"/>
      <c r="C2" s="81"/>
      <c r="D2" s="81"/>
    </row>
    <row r="3" spans="1:5" x14ac:dyDescent="0.2">
      <c r="C3" t="s">
        <v>46</v>
      </c>
    </row>
    <row r="4" spans="1:5" x14ac:dyDescent="0.2">
      <c r="A4" s="20" t="s">
        <v>102</v>
      </c>
      <c r="B4" t="s">
        <v>31</v>
      </c>
      <c r="C4" s="25">
        <v>18</v>
      </c>
    </row>
    <row r="5" spans="1:5" x14ac:dyDescent="0.2">
      <c r="A5" s="12" t="s">
        <v>103</v>
      </c>
      <c r="B5" t="s">
        <v>32</v>
      </c>
      <c r="C5" s="25">
        <v>12</v>
      </c>
    </row>
    <row r="6" spans="1:5" x14ac:dyDescent="0.2">
      <c r="B6" s="9" t="s">
        <v>91</v>
      </c>
      <c r="C6" s="46">
        <v>8</v>
      </c>
      <c r="D6" s="9" t="s">
        <v>92</v>
      </c>
    </row>
    <row r="7" spans="1:5" x14ac:dyDescent="0.2">
      <c r="B7" s="10" t="s">
        <v>73</v>
      </c>
      <c r="C7" s="12">
        <f>+C5*C4*8</f>
        <v>1728</v>
      </c>
      <c r="D7" s="9" t="s">
        <v>74</v>
      </c>
    </row>
    <row r="8" spans="1:5" x14ac:dyDescent="0.2">
      <c r="B8" s="9" t="s">
        <v>47</v>
      </c>
      <c r="C8" s="25" t="s">
        <v>95</v>
      </c>
      <c r="D8" s="9"/>
    </row>
    <row r="9" spans="1:5" x14ac:dyDescent="0.2">
      <c r="A9" t="s">
        <v>5</v>
      </c>
    </row>
    <row r="10" spans="1:5" x14ac:dyDescent="0.2">
      <c r="A10" s="1" t="s">
        <v>4</v>
      </c>
      <c r="B10" t="s">
        <v>27</v>
      </c>
      <c r="C10" t="s">
        <v>29</v>
      </c>
      <c r="D10" t="s">
        <v>30</v>
      </c>
    </row>
    <row r="11" spans="1:5" x14ac:dyDescent="0.2">
      <c r="A11" t="s">
        <v>11</v>
      </c>
      <c r="B11" s="24">
        <v>3.82</v>
      </c>
      <c r="C11" s="50">
        <f>+(C4*12/16+1)*2+(C5*12/16+3)*2</f>
        <v>53</v>
      </c>
      <c r="D11" s="53">
        <f>+C11*B11</f>
        <v>202.45999999999998</v>
      </c>
    </row>
    <row r="12" spans="1:5" x14ac:dyDescent="0.2">
      <c r="A12" t="str">
        <f>"2 x 6 x " &amp;TEXT(C4,"###") &amp;" ft (Sill &amp; header plates)"</f>
        <v>2 x 6 x 18 ft (Sill &amp; header plates)</v>
      </c>
      <c r="B12" s="24">
        <v>4.18</v>
      </c>
      <c r="C12" s="50">
        <v>6</v>
      </c>
      <c r="D12" s="53">
        <f>+C12*B12</f>
        <v>25.08</v>
      </c>
    </row>
    <row r="13" spans="1:5" x14ac:dyDescent="0.2">
      <c r="A13" t="str">
        <f>+"2 x 6 x " &amp;TEXT(C4,"###") &amp;" ft  (ceiling) (24in OC)"</f>
        <v>2 x 6 x 18 ft  (ceiling) (24in OC)</v>
      </c>
      <c r="B13" s="24">
        <v>4.18</v>
      </c>
      <c r="C13" s="51">
        <f>+IF(OR(C8="inside",B58="Flat"),C5/2+1,0)</f>
        <v>0</v>
      </c>
      <c r="D13" s="53">
        <f t="shared" ref="D13:D56" si="0">+C13*B13</f>
        <v>0</v>
      </c>
      <c r="E13" s="45" t="s">
        <v>111</v>
      </c>
    </row>
    <row r="14" spans="1:5" x14ac:dyDescent="0.2">
      <c r="A14" t="str">
        <f>"2 x 6 x " &amp;TEXT(C5,"###") &amp;" ft (Sill &amp; header plates)"</f>
        <v>2 x 6 x 12 ft (Sill &amp; header plates)</v>
      </c>
      <c r="B14" s="24">
        <v>5.25</v>
      </c>
      <c r="C14" s="51">
        <v>8</v>
      </c>
      <c r="D14" s="53">
        <f t="shared" si="0"/>
        <v>42</v>
      </c>
    </row>
    <row r="15" spans="1:5" x14ac:dyDescent="0.2">
      <c r="A15" t="s">
        <v>33</v>
      </c>
      <c r="B15" s="24">
        <v>15.95</v>
      </c>
      <c r="C15" s="51">
        <f>+ROUNDUP(((C4*2+C5*2)*8.5+C4*C5)/32,0)</f>
        <v>23</v>
      </c>
      <c r="D15" s="53">
        <f t="shared" si="0"/>
        <v>366.84999999999997</v>
      </c>
    </row>
    <row r="16" spans="1:5" x14ac:dyDescent="0.2">
      <c r="A16" t="s">
        <v>34</v>
      </c>
      <c r="B16" s="24">
        <v>15.95</v>
      </c>
      <c r="C16" s="51">
        <f>+ROUNDUP((((C4-11/12)*2+(C5-11/12)*2)*8+(C4-11/12)*(C5-11/12))/32,0)</f>
        <v>21</v>
      </c>
      <c r="D16" s="53">
        <f>+C16*B16</f>
        <v>334.95</v>
      </c>
    </row>
    <row r="17" spans="1:4" s="42" customFormat="1" x14ac:dyDescent="0.2">
      <c r="A17" s="44" t="s">
        <v>50</v>
      </c>
      <c r="B17" s="43">
        <v>5.25</v>
      </c>
      <c r="C17" s="47">
        <v>2</v>
      </c>
      <c r="D17" s="53">
        <f>+C17*B17</f>
        <v>10.5</v>
      </c>
    </row>
    <row r="18" spans="1:4" x14ac:dyDescent="0.2">
      <c r="A18" t="s">
        <v>0</v>
      </c>
      <c r="B18" s="24">
        <v>1.6</v>
      </c>
      <c r="C18" s="51">
        <v>1</v>
      </c>
      <c r="D18" s="53">
        <f t="shared" si="0"/>
        <v>1.6</v>
      </c>
    </row>
    <row r="19" spans="1:4" x14ac:dyDescent="0.2">
      <c r="A19" s="1" t="s">
        <v>1</v>
      </c>
      <c r="C19" s="52"/>
    </row>
    <row r="20" spans="1:4" x14ac:dyDescent="0.2">
      <c r="A20" t="s">
        <v>133</v>
      </c>
      <c r="B20" s="59">
        <v>13.25</v>
      </c>
      <c r="C20" s="51">
        <f>+ROUNDUP(((C4*2+C5*2)*8+C4*C5*2)/32,0)</f>
        <v>29</v>
      </c>
      <c r="D20" s="49">
        <f t="shared" si="0"/>
        <v>384.25</v>
      </c>
    </row>
    <row r="21" spans="1:4" s="45" customFormat="1" x14ac:dyDescent="0.2">
      <c r="A21" s="57" t="s">
        <v>112</v>
      </c>
      <c r="B21" s="59">
        <v>11.59</v>
      </c>
      <c r="C21" s="67">
        <f>+ROUNDUP((C4*C5)/32,0)*3</f>
        <v>21</v>
      </c>
      <c r="D21" s="58">
        <v>394.06</v>
      </c>
    </row>
    <row r="22" spans="1:4" x14ac:dyDescent="0.2">
      <c r="A22" t="s">
        <v>9</v>
      </c>
      <c r="B22" s="59">
        <v>3.38</v>
      </c>
      <c r="C22" s="51">
        <f>+ROUNDUP((C4*12/16)*2+(C5*12/16)*2,0)*3</f>
        <v>135</v>
      </c>
      <c r="D22" s="49">
        <f t="shared" si="0"/>
        <v>456.3</v>
      </c>
    </row>
    <row r="23" spans="1:4" x14ac:dyDescent="0.2">
      <c r="A23" t="s">
        <v>10</v>
      </c>
      <c r="B23" s="59">
        <v>1.69</v>
      </c>
      <c r="C23" s="51">
        <f>+ROUNDUP((C4*12/16)*2+(C5*12/16)*2,0)</f>
        <v>45</v>
      </c>
      <c r="D23" s="49">
        <f t="shared" si="0"/>
        <v>76.05</v>
      </c>
    </row>
    <row r="24" spans="1:4" x14ac:dyDescent="0.2">
      <c r="A24" t="s">
        <v>8</v>
      </c>
      <c r="B24" s="59">
        <v>184</v>
      </c>
      <c r="C24" s="51">
        <v>1</v>
      </c>
      <c r="D24" s="49">
        <f t="shared" si="0"/>
        <v>184</v>
      </c>
    </row>
    <row r="25" spans="1:4" x14ac:dyDescent="0.2">
      <c r="A25" t="s">
        <v>2</v>
      </c>
      <c r="B25" s="59">
        <v>5.97</v>
      </c>
      <c r="C25" s="51">
        <v>2</v>
      </c>
      <c r="D25" s="49">
        <f t="shared" si="0"/>
        <v>11.94</v>
      </c>
    </row>
    <row r="26" spans="1:4" x14ac:dyDescent="0.2">
      <c r="A26" t="s">
        <v>114</v>
      </c>
      <c r="B26" s="59">
        <v>14.99</v>
      </c>
      <c r="C26" s="51">
        <f>+ROUNDUP(((C20+4)*8)/150,0)</f>
        <v>2</v>
      </c>
      <c r="D26" s="49">
        <f t="shared" si="0"/>
        <v>29.98</v>
      </c>
    </row>
    <row r="27" spans="1:4" x14ac:dyDescent="0.2">
      <c r="A27" t="s">
        <v>113</v>
      </c>
      <c r="B27" s="59">
        <v>5.98</v>
      </c>
      <c r="C27" s="51">
        <f>+ROUNDUP(C11*5/200,0)</f>
        <v>2</v>
      </c>
      <c r="D27" s="49">
        <f t="shared" si="0"/>
        <v>11.96</v>
      </c>
    </row>
    <row r="28" spans="1:4" x14ac:dyDescent="0.2">
      <c r="A28" s="1" t="s">
        <v>3</v>
      </c>
      <c r="C28" s="52"/>
    </row>
    <row r="29" spans="1:4" x14ac:dyDescent="0.2">
      <c r="A29" t="s">
        <v>6</v>
      </c>
      <c r="B29" s="59">
        <v>10</v>
      </c>
      <c r="C29" s="51">
        <v>1</v>
      </c>
      <c r="D29" s="49">
        <f t="shared" si="0"/>
        <v>10</v>
      </c>
    </row>
    <row r="30" spans="1:4" x14ac:dyDescent="0.2">
      <c r="A30" t="s">
        <v>35</v>
      </c>
      <c r="B30" s="59">
        <f>0.97*20</f>
        <v>19.399999999999999</v>
      </c>
      <c r="C30" s="51">
        <f>+ROUNDUP((C4*2+C5*2)/20,0)</f>
        <v>3</v>
      </c>
      <c r="D30" s="49">
        <f t="shared" si="0"/>
        <v>58.199999999999996</v>
      </c>
    </row>
    <row r="31" spans="1:4" x14ac:dyDescent="0.2">
      <c r="A31" t="s">
        <v>7</v>
      </c>
      <c r="B31" s="59">
        <v>32.270000000000003</v>
      </c>
      <c r="C31" s="51">
        <f>+ROUNDUP(((C4/2+1)*2+(C5/2+1)*2)/50,0)</f>
        <v>1</v>
      </c>
      <c r="D31" s="49">
        <f t="shared" si="0"/>
        <v>32.270000000000003</v>
      </c>
    </row>
    <row r="32" spans="1:4" x14ac:dyDescent="0.2">
      <c r="A32" t="s">
        <v>15</v>
      </c>
      <c r="B32" s="59">
        <v>2.67</v>
      </c>
      <c r="C32" s="51">
        <v>3</v>
      </c>
      <c r="D32" s="49">
        <f t="shared" si="0"/>
        <v>8.01</v>
      </c>
    </row>
    <row r="33" spans="1:4" x14ac:dyDescent="0.2">
      <c r="A33" t="s">
        <v>22</v>
      </c>
      <c r="B33" s="59">
        <v>5.73</v>
      </c>
      <c r="C33" s="51">
        <f>+ROUNDUP((((C4*12/16+1)*2+(C5*12/16+1)*2+C13)*5)/105,0)</f>
        <v>3</v>
      </c>
      <c r="D33" s="49">
        <f t="shared" si="0"/>
        <v>17.190000000000001</v>
      </c>
    </row>
    <row r="34" spans="1:4" x14ac:dyDescent="0.2">
      <c r="A34" t="s">
        <v>23</v>
      </c>
      <c r="B34" s="59">
        <v>5.73</v>
      </c>
      <c r="C34" s="51">
        <f>+ROUNDUP((((C4*12/16+1)*2+(C5*12/16+1)*2+C13)*5)/180,0)</f>
        <v>2</v>
      </c>
      <c r="D34" s="49">
        <f t="shared" si="0"/>
        <v>11.46</v>
      </c>
    </row>
    <row r="35" spans="1:4" x14ac:dyDescent="0.2">
      <c r="A35" t="s">
        <v>24</v>
      </c>
      <c r="B35" s="59">
        <v>2</v>
      </c>
      <c r="C35" s="51">
        <f>+ROUNDUP(((((C4*12/16+1)*2+(C5*12/16+3)*2)*6+C13*10+4*12)/0.9)/50,0)</f>
        <v>9</v>
      </c>
      <c r="D35" s="49">
        <f t="shared" si="0"/>
        <v>18</v>
      </c>
    </row>
    <row r="36" spans="1:4" x14ac:dyDescent="0.2">
      <c r="A36" s="1" t="s">
        <v>12</v>
      </c>
      <c r="C36" s="52"/>
    </row>
    <row r="37" spans="1:4" x14ac:dyDescent="0.2">
      <c r="A37" t="s">
        <v>36</v>
      </c>
      <c r="B37" s="59">
        <v>0.77</v>
      </c>
      <c r="C37" s="51">
        <f>39+C5</f>
        <v>51</v>
      </c>
      <c r="D37" s="49">
        <f t="shared" si="0"/>
        <v>39.270000000000003</v>
      </c>
    </row>
    <row r="38" spans="1:4" x14ac:dyDescent="0.2">
      <c r="A38" t="s">
        <v>38</v>
      </c>
      <c r="B38" s="59">
        <v>7.79</v>
      </c>
      <c r="C38" s="51">
        <v>1</v>
      </c>
      <c r="D38" s="49">
        <f t="shared" si="0"/>
        <v>7.79</v>
      </c>
    </row>
    <row r="39" spans="1:4" x14ac:dyDescent="0.2">
      <c r="A39" t="s">
        <v>16</v>
      </c>
      <c r="B39" s="59">
        <v>5.97</v>
      </c>
      <c r="C39" s="51">
        <v>2</v>
      </c>
      <c r="D39" s="49">
        <f t="shared" si="0"/>
        <v>11.94</v>
      </c>
    </row>
    <row r="40" spans="1:4" x14ac:dyDescent="0.2">
      <c r="A40" t="s">
        <v>17</v>
      </c>
      <c r="B40" s="59">
        <v>3.59</v>
      </c>
      <c r="C40" s="51">
        <v>3</v>
      </c>
      <c r="D40" s="49">
        <f t="shared" si="0"/>
        <v>10.77</v>
      </c>
    </row>
    <row r="41" spans="1:4" x14ac:dyDescent="0.2">
      <c r="A41" t="s">
        <v>37</v>
      </c>
      <c r="B41" s="59">
        <v>4.24</v>
      </c>
      <c r="C41" s="51">
        <v>1</v>
      </c>
      <c r="D41" s="49">
        <f t="shared" si="0"/>
        <v>4.24</v>
      </c>
    </row>
    <row r="42" spans="1:4" x14ac:dyDescent="0.2">
      <c r="A42" t="s">
        <v>18</v>
      </c>
      <c r="B42" s="59">
        <v>8.99</v>
      </c>
      <c r="C42" s="51">
        <v>1</v>
      </c>
      <c r="D42" s="49">
        <f t="shared" si="0"/>
        <v>8.99</v>
      </c>
    </row>
    <row r="43" spans="1:4" x14ac:dyDescent="0.2">
      <c r="A43" t="s">
        <v>19</v>
      </c>
      <c r="B43" s="59">
        <v>16.989999999999998</v>
      </c>
      <c r="C43" s="51">
        <v>1</v>
      </c>
      <c r="D43" s="49">
        <f t="shared" si="0"/>
        <v>16.989999999999998</v>
      </c>
    </row>
    <row r="44" spans="1:4" x14ac:dyDescent="0.2">
      <c r="A44" t="s">
        <v>20</v>
      </c>
      <c r="B44" s="59">
        <v>0.99</v>
      </c>
      <c r="C44" s="51">
        <v>2</v>
      </c>
      <c r="D44" s="49">
        <f t="shared" si="0"/>
        <v>1.98</v>
      </c>
    </row>
    <row r="45" spans="1:4" x14ac:dyDescent="0.2">
      <c r="A45" t="s">
        <v>21</v>
      </c>
      <c r="B45" s="59">
        <v>15.52</v>
      </c>
      <c r="C45" s="51">
        <v>1</v>
      </c>
      <c r="D45" s="49">
        <f t="shared" si="0"/>
        <v>15.52</v>
      </c>
    </row>
    <row r="46" spans="1:4" x14ac:dyDescent="0.2">
      <c r="A46" s="1" t="s">
        <v>25</v>
      </c>
      <c r="C46" s="52"/>
    </row>
    <row r="47" spans="1:4" x14ac:dyDescent="0.2">
      <c r="A47" s="35" t="s">
        <v>107</v>
      </c>
      <c r="B47" s="59">
        <v>28.56</v>
      </c>
      <c r="C47" s="47">
        <f>+ROUNDUP(C5/3,0)</f>
        <v>4</v>
      </c>
      <c r="D47" s="49">
        <f t="shared" si="0"/>
        <v>114.24</v>
      </c>
    </row>
    <row r="48" spans="1:4" x14ac:dyDescent="0.2">
      <c r="A48" s="35" t="s">
        <v>94</v>
      </c>
      <c r="B48" s="59">
        <v>6.9</v>
      </c>
      <c r="C48" s="60">
        <f>+ROUND(C4*3*C47/(2*100),0)</f>
        <v>1</v>
      </c>
      <c r="D48" s="49">
        <f t="shared" si="0"/>
        <v>6.9</v>
      </c>
    </row>
    <row r="49" spans="1:4" x14ac:dyDescent="0.2">
      <c r="A49" s="35" t="s">
        <v>59</v>
      </c>
      <c r="B49" s="59">
        <v>4.1900000000000004</v>
      </c>
      <c r="C49" s="60">
        <f>+ROUNDUP((C4+C5)*2/10,0)</f>
        <v>6</v>
      </c>
      <c r="D49" s="49">
        <f t="shared" si="0"/>
        <v>25.14</v>
      </c>
    </row>
    <row r="50" spans="1:4" x14ac:dyDescent="0.2">
      <c r="A50" s="31" t="s">
        <v>26</v>
      </c>
      <c r="B50" s="59">
        <v>22.99</v>
      </c>
      <c r="C50" s="47">
        <f>+C16</f>
        <v>21</v>
      </c>
      <c r="D50" s="49">
        <f t="shared" si="0"/>
        <v>482.78999999999996</v>
      </c>
    </row>
    <row r="51" spans="1:4" x14ac:dyDescent="0.2">
      <c r="A51" s="31" t="s">
        <v>93</v>
      </c>
      <c r="B51" s="59">
        <v>2.99</v>
      </c>
      <c r="C51" s="60">
        <f>ROUND(28*C49/25,0)</f>
        <v>7</v>
      </c>
      <c r="D51" s="49">
        <f t="shared" si="0"/>
        <v>20.93</v>
      </c>
    </row>
    <row r="52" spans="1:4" x14ac:dyDescent="0.2">
      <c r="A52" s="31" t="s">
        <v>39</v>
      </c>
      <c r="B52" s="59">
        <v>2.2799999999999998</v>
      </c>
      <c r="C52" s="60">
        <f>+(ROUNDUP(C4/4-1,0)+ROUNDUP(C5/4-1,0))*2</f>
        <v>12</v>
      </c>
      <c r="D52" s="49">
        <f t="shared" si="0"/>
        <v>27.36</v>
      </c>
    </row>
    <row r="53" spans="1:4" x14ac:dyDescent="0.2">
      <c r="A53" s="31" t="s">
        <v>41</v>
      </c>
      <c r="B53" s="59">
        <v>2.2799999999999998</v>
      </c>
      <c r="C53" s="60">
        <f>+(ROUNDUP(C4/8,0)+ROUNDUP(C5/8,0))*2+4</f>
        <v>14</v>
      </c>
      <c r="D53" s="49">
        <f t="shared" si="0"/>
        <v>31.919999999999998</v>
      </c>
    </row>
    <row r="54" spans="1:4" x14ac:dyDescent="0.2">
      <c r="A54" s="31" t="s">
        <v>40</v>
      </c>
      <c r="B54" s="59">
        <v>2.2799999999999998</v>
      </c>
      <c r="C54" s="47">
        <v>4</v>
      </c>
      <c r="D54" s="49">
        <f t="shared" si="0"/>
        <v>9.1199999999999992</v>
      </c>
    </row>
    <row r="55" spans="1:4" x14ac:dyDescent="0.2">
      <c r="A55" s="31" t="s">
        <v>62</v>
      </c>
      <c r="B55" s="59">
        <v>21</v>
      </c>
      <c r="C55" s="60">
        <f>+ROUNDUP((C4*8.5*2+C5*8.5*2+C4*C5)/300,0)</f>
        <v>3</v>
      </c>
      <c r="D55" s="49">
        <f t="shared" si="0"/>
        <v>63</v>
      </c>
    </row>
    <row r="56" spans="1:4" x14ac:dyDescent="0.2">
      <c r="A56" s="31" t="s">
        <v>63</v>
      </c>
      <c r="B56" s="59">
        <v>22</v>
      </c>
      <c r="C56" s="60">
        <f>+ROUNDUP((C4*8.5*2+C5*8.5*2+C4*C5)/300,0)</f>
        <v>3</v>
      </c>
      <c r="D56" s="49">
        <f t="shared" si="0"/>
        <v>66</v>
      </c>
    </row>
    <row r="57" spans="1:4" x14ac:dyDescent="0.2">
      <c r="A57" s="32" t="s">
        <v>60</v>
      </c>
      <c r="B57" s="34"/>
      <c r="C57" s="52"/>
      <c r="D57" s="30"/>
    </row>
    <row r="58" spans="1:4" x14ac:dyDescent="0.2">
      <c r="A58" s="36" t="s">
        <v>87</v>
      </c>
      <c r="B58" s="68" t="s">
        <v>115</v>
      </c>
      <c r="C58" s="52"/>
      <c r="D58" s="30"/>
    </row>
    <row r="59" spans="1:4" x14ac:dyDescent="0.2">
      <c r="A59" s="35" t="s">
        <v>86</v>
      </c>
      <c r="B59" s="59">
        <v>1.8</v>
      </c>
      <c r="C59" s="60">
        <f>+IF(AND(B58="Flat",C8="Outside"),(C4+2)*(C5+2),0)</f>
        <v>0</v>
      </c>
      <c r="D59" s="49">
        <f t="shared" ref="D59:D61" si="1">+C59*B59</f>
        <v>0</v>
      </c>
    </row>
    <row r="60" spans="1:4" x14ac:dyDescent="0.2">
      <c r="A60" s="35" t="s">
        <v>88</v>
      </c>
      <c r="B60" s="59">
        <v>53</v>
      </c>
      <c r="C60" s="60">
        <f>+IF(C8="inside",0,IF(AND(B58="Flat",C8="Outside"),IF(MAX(C4+2,C5+2)&gt;10,ROUNDUP(MAX(C4+2,C5+2)/25,0)),0))</f>
        <v>0</v>
      </c>
      <c r="D60" s="49">
        <f t="shared" si="1"/>
        <v>0</v>
      </c>
    </row>
    <row r="61" spans="1:4" x14ac:dyDescent="0.2">
      <c r="A61" s="35" t="s">
        <v>89</v>
      </c>
      <c r="B61" s="59">
        <v>8</v>
      </c>
      <c r="C61" s="60">
        <f>+IF(C8="inside",0,IF(AND(B58="Flat",C8="Outside"),ROUNDUP((C4*2+C5*2)*1.1/10,0),0))</f>
        <v>0</v>
      </c>
      <c r="D61" s="49">
        <f t="shared" si="1"/>
        <v>0</v>
      </c>
    </row>
    <row r="62" spans="1:4" x14ac:dyDescent="0.2">
      <c r="A62" s="79" t="s">
        <v>108</v>
      </c>
      <c r="B62" s="34"/>
      <c r="C62" s="52"/>
      <c r="D62" s="30"/>
    </row>
    <row r="63" spans="1:4" s="61" customFormat="1" x14ac:dyDescent="0.2">
      <c r="A63" s="35" t="s">
        <v>132</v>
      </c>
      <c r="B63" s="76">
        <v>16</v>
      </c>
      <c r="C63" s="52" t="s">
        <v>131</v>
      </c>
    </row>
    <row r="64" spans="1:4" x14ac:dyDescent="0.2">
      <c r="A64" s="57" t="str">
        <f>+"Roof Truss 4/12 pitch, " &amp;TEXT(C4,"###") &amp; "ft span"</f>
        <v>Roof Truss 4/12 pitch, 18ft span</v>
      </c>
      <c r="B64" s="59">
        <v>34.19</v>
      </c>
      <c r="C64" s="67">
        <f>+IF(AND(B58="Pitched",C8="outside"),ROUNDUP(C5/(B63/12)+1,0),0)</f>
        <v>10</v>
      </c>
      <c r="D64" s="49">
        <f t="shared" ref="D64:D74" si="2">+C64*B64</f>
        <v>341.9</v>
      </c>
    </row>
    <row r="65" spans="1:10" x14ac:dyDescent="0.2">
      <c r="A65" s="31" t="s">
        <v>51</v>
      </c>
      <c r="B65" s="59">
        <v>15.95</v>
      </c>
      <c r="C65" s="67">
        <f>+IF(AND(B58="Pitched",C8="outside"),ROUNDUP(C4/24*4*C4*1.2/32,0),0)</f>
        <v>3</v>
      </c>
      <c r="D65" s="49">
        <f t="shared" si="2"/>
        <v>47.849999999999994</v>
      </c>
    </row>
    <row r="66" spans="1:10" x14ac:dyDescent="0.2">
      <c r="A66" s="31" t="s">
        <v>52</v>
      </c>
      <c r="B66" s="59">
        <v>11.49</v>
      </c>
      <c r="C66" s="67">
        <f>+IF(AND(B58="Pitched",C8="outside"),2,0)</f>
        <v>2</v>
      </c>
      <c r="D66" s="49">
        <f t="shared" si="2"/>
        <v>22.98</v>
      </c>
    </row>
    <row r="67" spans="1:10" x14ac:dyDescent="0.2">
      <c r="A67" s="31" t="s">
        <v>109</v>
      </c>
      <c r="B67" s="59">
        <v>5.49</v>
      </c>
      <c r="C67" s="67">
        <f>+IF(AND(B58="Pitched",C8="outside"),(ROUNDUP(SQRT((C4/24*4)^2+(C4/2)^2)/2,0)+1)*2,0)</f>
        <v>12</v>
      </c>
      <c r="D67" s="49">
        <f t="shared" si="2"/>
        <v>65.88</v>
      </c>
      <c r="E67" s="30"/>
      <c r="F67" s="30"/>
      <c r="G67" s="30"/>
      <c r="H67" s="30"/>
      <c r="I67" s="30"/>
      <c r="J67" s="30"/>
    </row>
    <row r="68" spans="1:10" x14ac:dyDescent="0.2">
      <c r="A68" s="31" t="s">
        <v>110</v>
      </c>
      <c r="B68" s="59">
        <v>15.59</v>
      </c>
      <c r="C68" s="67">
        <f>+IF(AND(B58="Pitched",C8="outside"),ROUNDUP(C5/3,0)*2,0)</f>
        <v>8</v>
      </c>
      <c r="D68" s="49">
        <f t="shared" si="2"/>
        <v>124.72</v>
      </c>
      <c r="E68" s="30"/>
      <c r="F68" s="30"/>
      <c r="G68" s="30"/>
      <c r="H68" s="30"/>
      <c r="I68" s="30"/>
      <c r="J68" s="30"/>
    </row>
    <row r="69" spans="1:10" x14ac:dyDescent="0.2">
      <c r="A69" s="31" t="s">
        <v>53</v>
      </c>
      <c r="B69" s="59">
        <v>4.93</v>
      </c>
      <c r="C69" s="67">
        <f>+IF(AND(B58="Pitched",C8="outside"),ROUNDUP(C5/10,0),0)</f>
        <v>2</v>
      </c>
      <c r="D69" s="49">
        <f t="shared" si="2"/>
        <v>9.86</v>
      </c>
      <c r="E69" s="30"/>
      <c r="F69" s="30"/>
      <c r="G69" s="30"/>
      <c r="H69" s="30"/>
      <c r="I69" s="30"/>
      <c r="J69" s="30"/>
    </row>
    <row r="70" spans="1:10" x14ac:dyDescent="0.2">
      <c r="A70" s="31" t="s">
        <v>55</v>
      </c>
      <c r="B70" s="59">
        <v>19.489999999999998</v>
      </c>
      <c r="C70" s="67">
        <f>+IF(AND(B58="Pitched",C8="outside"),ROUNDUP((C4+C5)*2/3,0),0)</f>
        <v>20</v>
      </c>
      <c r="D70" s="49">
        <f t="shared" si="2"/>
        <v>389.79999999999995</v>
      </c>
      <c r="E70" s="30"/>
      <c r="F70" s="30"/>
      <c r="G70" s="30"/>
      <c r="H70" s="30"/>
      <c r="I70" s="30"/>
      <c r="J70" s="30"/>
    </row>
    <row r="71" spans="1:10" x14ac:dyDescent="0.2">
      <c r="A71" s="31" t="s">
        <v>57</v>
      </c>
      <c r="B71" s="59">
        <v>8.7899999999999991</v>
      </c>
      <c r="C71" s="67">
        <f>+IF(AND(B58="Pitched",C8="outside"),ROUNDUP((C4+C5)*2/12,0),0)</f>
        <v>5</v>
      </c>
      <c r="D71" s="49">
        <f t="shared" si="2"/>
        <v>43.949999999999996</v>
      </c>
      <c r="E71" s="30"/>
      <c r="F71" s="30"/>
      <c r="G71" s="30"/>
      <c r="H71" s="30"/>
      <c r="I71" s="30"/>
      <c r="J71" s="30"/>
    </row>
    <row r="72" spans="1:10" x14ac:dyDescent="0.2">
      <c r="A72" s="31" t="s">
        <v>58</v>
      </c>
      <c r="B72" s="59">
        <v>10.59</v>
      </c>
      <c r="C72" s="67">
        <f>+IF(AND(B58="Pitched",C8="outside"),3,0)</f>
        <v>3</v>
      </c>
      <c r="D72" s="49">
        <f t="shared" si="2"/>
        <v>31.77</v>
      </c>
      <c r="E72" s="30"/>
      <c r="F72" s="30"/>
      <c r="G72" s="30"/>
      <c r="H72" s="30"/>
      <c r="I72" s="30"/>
      <c r="J72" s="30"/>
    </row>
    <row r="73" spans="1:10" x14ac:dyDescent="0.2">
      <c r="A73" s="31" t="s">
        <v>56</v>
      </c>
      <c r="B73" s="59">
        <v>5.59</v>
      </c>
      <c r="C73" s="67">
        <f>+IF(AND(B58="Pitched",C8="outside"),ROUNDUP((C4+C5)*2/10+8+3,0),0)</f>
        <v>17</v>
      </c>
      <c r="D73" s="49">
        <f t="shared" si="2"/>
        <v>95.03</v>
      </c>
      <c r="E73" s="30"/>
      <c r="F73" s="30"/>
      <c r="G73" s="30"/>
      <c r="H73" s="30"/>
      <c r="I73" s="30"/>
      <c r="J73" s="30"/>
    </row>
    <row r="74" spans="1:10" x14ac:dyDescent="0.2">
      <c r="A74" s="31" t="s">
        <v>54</v>
      </c>
      <c r="B74" s="59">
        <v>6.89</v>
      </c>
      <c r="C74" s="67">
        <f>+IF(AND(B58="Pitched",C8="outside"),ROUNDUP((C67*C5+C73*10/1.5+C72*8/1.5+C70*5*3)/100,0),0)</f>
        <v>6</v>
      </c>
      <c r="D74" s="49">
        <f t="shared" si="2"/>
        <v>41.339999999999996</v>
      </c>
      <c r="E74" s="30"/>
      <c r="F74" s="30"/>
      <c r="G74" s="30"/>
      <c r="H74" s="30"/>
      <c r="I74" s="30"/>
      <c r="J74" s="30"/>
    </row>
    <row r="77" spans="1:10" x14ac:dyDescent="0.2">
      <c r="A77" s="37" t="s">
        <v>96</v>
      </c>
      <c r="B77" s="33"/>
      <c r="C77" s="33"/>
      <c r="D77" s="64">
        <f>SUM(D11:D74)</f>
        <v>4867.08</v>
      </c>
      <c r="E77" s="30"/>
      <c r="F77" s="30"/>
      <c r="G77" s="30"/>
      <c r="H77" s="30"/>
      <c r="I77" s="30"/>
      <c r="J77" s="30"/>
    </row>
    <row r="79" spans="1:10" x14ac:dyDescent="0.2">
      <c r="A79" s="31" t="s">
        <v>64</v>
      </c>
      <c r="B79" s="30"/>
      <c r="C79" s="30"/>
      <c r="D79" s="30"/>
      <c r="E79" s="30"/>
      <c r="F79" s="30"/>
      <c r="G79" s="30"/>
      <c r="H79" s="30"/>
      <c r="I79" s="41" t="s">
        <v>84</v>
      </c>
      <c r="J79" s="30"/>
    </row>
    <row r="80" spans="1:10" x14ac:dyDescent="0.2">
      <c r="A80" s="31" t="s">
        <v>76</v>
      </c>
      <c r="B80" s="65">
        <f xml:space="preserve"> ROUNDUP(45.393*C7^0.7112,-2)</f>
        <v>9200</v>
      </c>
      <c r="C80" s="33" t="s">
        <v>75</v>
      </c>
      <c r="D80" s="64">
        <f>0.1072*B80 + 2074.5</f>
        <v>3060.74</v>
      </c>
      <c r="E80" s="31" t="s">
        <v>82</v>
      </c>
      <c r="F80" s="30"/>
      <c r="G80" s="30"/>
      <c r="H80" s="30"/>
      <c r="I80" s="41" t="s">
        <v>100</v>
      </c>
      <c r="J80" s="31" t="s">
        <v>85</v>
      </c>
    </row>
    <row r="81" spans="1:10" ht="25.5" x14ac:dyDescent="0.2">
      <c r="A81" s="38" t="s">
        <v>77</v>
      </c>
      <c r="B81" s="30"/>
      <c r="C81" s="30"/>
      <c r="D81" s="30"/>
      <c r="E81" s="30"/>
      <c r="F81" s="30"/>
      <c r="G81" s="30"/>
      <c r="H81" s="30"/>
      <c r="I81" s="31">
        <v>10000</v>
      </c>
      <c r="J81" s="56">
        <v>269</v>
      </c>
    </row>
    <row r="82" spans="1:10" ht="13.5" thickBot="1" x14ac:dyDescent="0.25">
      <c r="A82" s="31" t="s">
        <v>65</v>
      </c>
      <c r="B82" s="30"/>
      <c r="C82" s="30"/>
      <c r="D82" s="56">
        <v>300</v>
      </c>
      <c r="E82" s="30"/>
      <c r="F82" s="30"/>
      <c r="G82" s="30"/>
      <c r="H82" s="30"/>
      <c r="I82" s="31">
        <v>12000</v>
      </c>
      <c r="J82" s="56">
        <v>319</v>
      </c>
    </row>
    <row r="83" spans="1:10" ht="13.5" thickBot="1" x14ac:dyDescent="0.25">
      <c r="A83" s="31" t="s">
        <v>83</v>
      </c>
      <c r="B83" s="67">
        <f>+ROUNDUP(C4*C5*8*23,-3)</f>
        <v>40000</v>
      </c>
      <c r="C83" s="63">
        <f>+IF(B83&gt;24000,ROUNDUP(B83/24000,0),1)</f>
        <v>2</v>
      </c>
      <c r="D83" s="64">
        <f>+VLOOKUP(ROUNDUP(B83/C83,-3),I81:J87,2,TRUE)*C83</f>
        <v>998</v>
      </c>
      <c r="E83" s="66">
        <f>+B83/C83</f>
        <v>20000</v>
      </c>
      <c r="F83" s="39" t="s">
        <v>98</v>
      </c>
      <c r="G83" s="40"/>
      <c r="H83" s="30"/>
      <c r="I83" s="31">
        <v>14000</v>
      </c>
      <c r="J83" s="56">
        <v>399</v>
      </c>
    </row>
    <row r="84" spans="1:10" x14ac:dyDescent="0.2">
      <c r="A84" s="31" t="s">
        <v>79</v>
      </c>
      <c r="B84" s="30"/>
      <c r="C84" s="30"/>
      <c r="D84" s="30"/>
      <c r="E84" s="30"/>
      <c r="F84" s="30"/>
      <c r="G84" s="30"/>
      <c r="H84" s="30"/>
      <c r="I84" s="31">
        <v>18000</v>
      </c>
      <c r="J84" s="56">
        <v>499</v>
      </c>
    </row>
    <row r="85" spans="1:10" x14ac:dyDescent="0.2">
      <c r="A85" s="30"/>
      <c r="B85" s="30"/>
      <c r="C85" s="30"/>
      <c r="D85" s="30"/>
      <c r="E85" s="30"/>
      <c r="F85" s="30"/>
      <c r="G85" s="30"/>
      <c r="H85" s="30"/>
      <c r="I85" s="30"/>
      <c r="J85" s="56"/>
    </row>
    <row r="86" spans="1:10" x14ac:dyDescent="0.2">
      <c r="A86" s="31" t="s">
        <v>99</v>
      </c>
      <c r="B86" s="30"/>
      <c r="C86" s="30"/>
      <c r="D86" s="64">
        <f>+D77</f>
        <v>4867.08</v>
      </c>
      <c r="E86" s="30"/>
      <c r="F86" s="30"/>
      <c r="G86" s="30"/>
      <c r="H86" s="30"/>
      <c r="I86" s="30"/>
      <c r="J86" s="56"/>
    </row>
    <row r="87" spans="1:10" x14ac:dyDescent="0.2">
      <c r="A87" s="30"/>
      <c r="B87" s="30"/>
      <c r="C87" s="30"/>
      <c r="D87" s="30"/>
      <c r="E87" s="30"/>
      <c r="F87" s="30"/>
      <c r="G87" s="30"/>
      <c r="H87" s="30"/>
      <c r="I87" s="31">
        <v>24000</v>
      </c>
      <c r="J87" s="56">
        <v>599</v>
      </c>
    </row>
    <row r="88" spans="1:10" x14ac:dyDescent="0.2">
      <c r="A88" s="30"/>
      <c r="B88" s="30"/>
      <c r="C88" s="30"/>
      <c r="D88" s="64">
        <f>+D77+D80+D86</f>
        <v>12794.9</v>
      </c>
      <c r="E88" s="33" t="s">
        <v>90</v>
      </c>
      <c r="F88" s="33"/>
      <c r="G88" s="30"/>
      <c r="H88" s="30"/>
      <c r="I88" s="30"/>
      <c r="J88" s="30"/>
    </row>
    <row r="89" spans="1:10" x14ac:dyDescent="0.2">
      <c r="A89" s="30"/>
      <c r="B89" s="30"/>
      <c r="C89" s="30"/>
      <c r="D89" s="64">
        <f>+D77+D82+D83+D86</f>
        <v>11032.16</v>
      </c>
      <c r="E89" s="33" t="s">
        <v>97</v>
      </c>
      <c r="F89" s="33"/>
      <c r="G89" s="30"/>
      <c r="H89" s="30"/>
      <c r="I89" s="30"/>
      <c r="J89" s="30"/>
    </row>
  </sheetData>
  <sheetProtection algorithmName="SHA-512" hashValue="nZt6U9OgCETpD0o6HRcEGzhp+BwT7kzkrIo0SX7+258HSCF7gYSVT/CpexLKaP2q8eQl6qsDswMWFzsjCruhUQ==" saltValue="/Q2ePAEW79Wuxzxre/Xuow==" spinCount="100000" sheet="1" objects="1" scenarios="1"/>
  <mergeCells count="1">
    <mergeCell ref="A2:D2"/>
  </mergeCells>
  <dataValidations count="3">
    <dataValidation type="list" allowBlank="1" showInputMessage="1" showErrorMessage="1" sqref="C8">
      <formula1>"Inside, Outside"</formula1>
    </dataValidation>
    <dataValidation type="list" allowBlank="1" showInputMessage="1" showErrorMessage="1" sqref="B58">
      <formula1>"Flat, Pitched"</formula1>
    </dataValidation>
    <dataValidation type="list" allowBlank="1" showInputMessage="1" showErrorMessage="1" sqref="B63">
      <formula1>"12, 16, 24, 36, 48"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58" workbookViewId="0">
      <selection activeCell="J80" sqref="J80:J86"/>
    </sheetView>
  </sheetViews>
  <sheetFormatPr defaultColWidth="8.85546875" defaultRowHeight="12.75" x14ac:dyDescent="0.2"/>
  <cols>
    <col min="1" max="1" width="48.85546875" style="9" customWidth="1"/>
    <col min="2" max="3" width="8.85546875" style="9"/>
    <col min="4" max="4" width="9.140625" style="9" bestFit="1" customWidth="1"/>
    <col min="5" max="16384" width="8.85546875" style="9"/>
  </cols>
  <sheetData>
    <row r="1" spans="1:5" x14ac:dyDescent="0.2">
      <c r="A1" s="9" t="s">
        <v>101</v>
      </c>
    </row>
    <row r="2" spans="1:5" ht="26.45" customHeight="1" x14ac:dyDescent="0.2">
      <c r="A2" s="81" t="s">
        <v>105</v>
      </c>
      <c r="B2" s="81"/>
      <c r="C2" s="81"/>
      <c r="D2" s="81"/>
    </row>
    <row r="3" spans="1:5" x14ac:dyDescent="0.2">
      <c r="C3" s="9" t="s">
        <v>46</v>
      </c>
    </row>
    <row r="4" spans="1:5" x14ac:dyDescent="0.2">
      <c r="A4" s="20" t="s">
        <v>102</v>
      </c>
      <c r="B4" s="9" t="s">
        <v>31</v>
      </c>
      <c r="C4" s="28">
        <v>12</v>
      </c>
    </row>
    <row r="5" spans="1:5" x14ac:dyDescent="0.2">
      <c r="A5" s="12" t="s">
        <v>103</v>
      </c>
      <c r="B5" s="9" t="s">
        <v>32</v>
      </c>
      <c r="C5" s="28">
        <v>16</v>
      </c>
    </row>
    <row r="6" spans="1:5" x14ac:dyDescent="0.2">
      <c r="B6" s="9" t="s">
        <v>91</v>
      </c>
      <c r="C6" s="47">
        <v>8</v>
      </c>
      <c r="D6" s="9" t="s">
        <v>92</v>
      </c>
    </row>
    <row r="7" spans="1:5" x14ac:dyDescent="0.2">
      <c r="B7" s="10" t="s">
        <v>73</v>
      </c>
      <c r="C7" s="29">
        <f>+C5*C4*8</f>
        <v>1536</v>
      </c>
      <c r="D7" s="9" t="s">
        <v>74</v>
      </c>
    </row>
    <row r="8" spans="1:5" x14ac:dyDescent="0.2">
      <c r="B8" s="9" t="s">
        <v>47</v>
      </c>
      <c r="C8" s="28" t="s">
        <v>95</v>
      </c>
    </row>
    <row r="9" spans="1:5" x14ac:dyDescent="0.2">
      <c r="A9" s="9" t="s">
        <v>5</v>
      </c>
    </row>
    <row r="10" spans="1:5" x14ac:dyDescent="0.2">
      <c r="A10" s="11" t="s">
        <v>4</v>
      </c>
      <c r="B10" s="9" t="s">
        <v>106</v>
      </c>
      <c r="C10" s="9" t="s">
        <v>29</v>
      </c>
      <c r="D10" s="9" t="s">
        <v>30</v>
      </c>
    </row>
    <row r="11" spans="1:5" x14ac:dyDescent="0.2">
      <c r="A11" s="9" t="s">
        <v>11</v>
      </c>
      <c r="B11" s="24">
        <v>3.82</v>
      </c>
      <c r="C11" s="80">
        <f>+(C4*12/24+1)*2+(C5*12/24+3)*2</f>
        <v>36</v>
      </c>
      <c r="D11" s="55">
        <f>+C11*B11</f>
        <v>137.51999999999998</v>
      </c>
    </row>
    <row r="12" spans="1:5" x14ac:dyDescent="0.2">
      <c r="A12" s="9" t="str">
        <f>"2 x 6 x " &amp;TEXT(C4,"###") &amp;" ft (Sill &amp; header plates)"</f>
        <v>2 x 6 x 12 ft (Sill &amp; header plates)</v>
      </c>
      <c r="B12" s="24">
        <v>6.79</v>
      </c>
      <c r="C12" s="80">
        <v>6</v>
      </c>
      <c r="D12" s="55">
        <f>+C12*B12</f>
        <v>40.74</v>
      </c>
    </row>
    <row r="13" spans="1:5" x14ac:dyDescent="0.2">
      <c r="A13" s="9" t="str">
        <f>+"2 x 6 x " &amp;TEXT(C4,"###") &amp;" ft  (ceiling) (24in OC)"</f>
        <v>2 x 6 x 12 ft  (ceiling) (24in OC)</v>
      </c>
      <c r="B13" s="24">
        <v>6.79</v>
      </c>
      <c r="C13" s="67">
        <f>+IF(OR(C8="inside",B57="Flat"),C5/2+1,0)</f>
        <v>0</v>
      </c>
      <c r="D13" s="55">
        <f t="shared" ref="D13:D60" si="0">+C13*B13</f>
        <v>0</v>
      </c>
      <c r="E13" s="45" t="s">
        <v>111</v>
      </c>
    </row>
    <row r="14" spans="1:5" x14ac:dyDescent="0.2">
      <c r="A14" s="9" t="str">
        <f>"2 x 6 x " &amp;TEXT(C5,"###") &amp;" ft (Sill &amp; header plates)"</f>
        <v>2 x 6 x 16 ft (Sill &amp; header plates)</v>
      </c>
      <c r="B14" s="24">
        <v>6.79</v>
      </c>
      <c r="C14" s="67">
        <v>8</v>
      </c>
      <c r="D14" s="55">
        <f t="shared" si="0"/>
        <v>54.32</v>
      </c>
    </row>
    <row r="15" spans="1:5" x14ac:dyDescent="0.2">
      <c r="A15" s="9" t="s">
        <v>33</v>
      </c>
      <c r="B15" s="24">
        <v>15.95</v>
      </c>
      <c r="C15" s="67">
        <f>+ROUNDUP(((C4*2+C5*2)*8.5+C4*C5)/32,0)</f>
        <v>21</v>
      </c>
      <c r="D15" s="55">
        <f t="shared" si="0"/>
        <v>334.95</v>
      </c>
    </row>
    <row r="16" spans="1:5" x14ac:dyDescent="0.2">
      <c r="A16" s="9" t="s">
        <v>34</v>
      </c>
      <c r="B16" s="24">
        <v>15.95</v>
      </c>
      <c r="C16" s="67">
        <f>+ROUNDUP((((C4-11/12)*2+(C5-11/12)*2)*8+(C4-11/12)*(C5-11/12))/32,0)</f>
        <v>19</v>
      </c>
      <c r="D16" s="55">
        <f t="shared" si="0"/>
        <v>303.05</v>
      </c>
    </row>
    <row r="17" spans="1:4" x14ac:dyDescent="0.2">
      <c r="A17" s="9" t="s">
        <v>50</v>
      </c>
      <c r="B17" s="24">
        <v>5.25</v>
      </c>
      <c r="C17" s="67">
        <v>2</v>
      </c>
      <c r="D17" s="55">
        <f t="shared" si="0"/>
        <v>10.5</v>
      </c>
    </row>
    <row r="18" spans="1:4" x14ac:dyDescent="0.2">
      <c r="A18" s="9" t="s">
        <v>0</v>
      </c>
      <c r="B18" s="24">
        <v>1.6</v>
      </c>
      <c r="C18" s="67">
        <v>1</v>
      </c>
      <c r="D18" s="55">
        <f t="shared" si="0"/>
        <v>1.6</v>
      </c>
    </row>
    <row r="19" spans="1:4" x14ac:dyDescent="0.2">
      <c r="A19" s="11" t="s">
        <v>1</v>
      </c>
      <c r="B19" s="13"/>
      <c r="C19" s="41"/>
    </row>
    <row r="20" spans="1:4" x14ac:dyDescent="0.2">
      <c r="A20" s="9" t="s">
        <v>43</v>
      </c>
      <c r="B20" s="24">
        <v>13.25</v>
      </c>
      <c r="C20" s="67">
        <f>+ROUNDUP(((C4*2+C5*2)*8+C4*C5)/32,0)</f>
        <v>20</v>
      </c>
      <c r="D20" s="54">
        <f t="shared" si="0"/>
        <v>265</v>
      </c>
    </row>
    <row r="21" spans="1:4" x14ac:dyDescent="0.2">
      <c r="A21" s="9" t="s">
        <v>61</v>
      </c>
      <c r="B21" s="24">
        <v>8.75</v>
      </c>
      <c r="C21" s="67">
        <f>+ROUNDUP(((C4*2+C5*2)*8+C4*C5)/32,0)</f>
        <v>20</v>
      </c>
      <c r="D21" s="54">
        <f t="shared" si="0"/>
        <v>175</v>
      </c>
    </row>
    <row r="22" spans="1:4" x14ac:dyDescent="0.2">
      <c r="A22" s="9" t="s">
        <v>45</v>
      </c>
      <c r="B22" s="24">
        <v>11.59</v>
      </c>
      <c r="C22" s="67">
        <f>+(ROUNDUP((C4/4)*2+(C5/4)*2,0)+ROUNDUP(C4*C5/32,0))*2</f>
        <v>40</v>
      </c>
      <c r="D22" s="54">
        <f t="shared" si="0"/>
        <v>463.6</v>
      </c>
    </row>
    <row r="23" spans="1:4" x14ac:dyDescent="0.2">
      <c r="A23" s="9" t="s">
        <v>8</v>
      </c>
      <c r="B23" s="24">
        <v>184</v>
      </c>
      <c r="C23" s="67">
        <v>1</v>
      </c>
      <c r="D23" s="54">
        <f t="shared" si="0"/>
        <v>184</v>
      </c>
    </row>
    <row r="24" spans="1:4" x14ac:dyDescent="0.2">
      <c r="A24" s="9" t="s">
        <v>2</v>
      </c>
      <c r="B24" s="24">
        <v>5.97</v>
      </c>
      <c r="C24" s="67">
        <v>2</v>
      </c>
      <c r="D24" s="54">
        <f t="shared" si="0"/>
        <v>11.94</v>
      </c>
    </row>
    <row r="25" spans="1:4" x14ac:dyDescent="0.2">
      <c r="A25" s="9" t="s">
        <v>114</v>
      </c>
      <c r="B25" s="24">
        <v>14.99</v>
      </c>
      <c r="C25" s="67">
        <f>+ROUNDUP(((C20+4)*8)/150,0)</f>
        <v>2</v>
      </c>
      <c r="D25" s="54">
        <f t="shared" si="0"/>
        <v>29.98</v>
      </c>
    </row>
    <row r="26" spans="1:4" x14ac:dyDescent="0.2">
      <c r="A26" s="9" t="s">
        <v>113</v>
      </c>
      <c r="B26" s="24">
        <v>5.98</v>
      </c>
      <c r="C26" s="67">
        <f>+ROUNDUP(C11*5/200,0)</f>
        <v>1</v>
      </c>
      <c r="D26" s="54">
        <f t="shared" si="0"/>
        <v>5.98</v>
      </c>
    </row>
    <row r="27" spans="1:4" x14ac:dyDescent="0.2">
      <c r="A27" s="11" t="s">
        <v>3</v>
      </c>
      <c r="B27" s="13"/>
      <c r="C27" s="41"/>
    </row>
    <row r="28" spans="1:4" x14ac:dyDescent="0.2">
      <c r="A28" s="9" t="s">
        <v>6</v>
      </c>
      <c r="B28" s="24">
        <v>10</v>
      </c>
      <c r="C28" s="67">
        <v>1</v>
      </c>
      <c r="D28" s="54">
        <f t="shared" si="0"/>
        <v>10</v>
      </c>
    </row>
    <row r="29" spans="1:4" x14ac:dyDescent="0.2">
      <c r="A29" s="9" t="s">
        <v>35</v>
      </c>
      <c r="B29" s="24">
        <f>0.97*20</f>
        <v>19.399999999999999</v>
      </c>
      <c r="C29" s="67">
        <f>+ROUNDUP((C4*2+C5*2)/20,0)</f>
        <v>3</v>
      </c>
      <c r="D29" s="54">
        <f t="shared" si="0"/>
        <v>58.199999999999996</v>
      </c>
    </row>
    <row r="30" spans="1:4" x14ac:dyDescent="0.2">
      <c r="A30" s="9" t="s">
        <v>7</v>
      </c>
      <c r="B30" s="24">
        <v>32.270000000000003</v>
      </c>
      <c r="C30" s="67">
        <f>+ROUNDUP(((C4/2+1)*2+(C5/2+1)*2)/50,0)</f>
        <v>1</v>
      </c>
      <c r="D30" s="54">
        <f t="shared" si="0"/>
        <v>32.270000000000003</v>
      </c>
    </row>
    <row r="31" spans="1:4" x14ac:dyDescent="0.2">
      <c r="A31" s="9" t="s">
        <v>15</v>
      </c>
      <c r="B31" s="24">
        <v>2.67</v>
      </c>
      <c r="C31" s="67">
        <v>3</v>
      </c>
      <c r="D31" s="54">
        <f t="shared" si="0"/>
        <v>8.01</v>
      </c>
    </row>
    <row r="32" spans="1:4" x14ac:dyDescent="0.2">
      <c r="A32" s="9" t="s">
        <v>22</v>
      </c>
      <c r="B32" s="24">
        <v>5.73</v>
      </c>
      <c r="C32" s="67">
        <f>+ROUNDUP((((C4*12/24+1)*2+(C5*12/24+1)*2+C13)*5)/105,0)</f>
        <v>2</v>
      </c>
      <c r="D32" s="54">
        <f t="shared" si="0"/>
        <v>11.46</v>
      </c>
    </row>
    <row r="33" spans="1:4" x14ac:dyDescent="0.2">
      <c r="A33" s="9" t="s">
        <v>23</v>
      </c>
      <c r="B33" s="24">
        <v>5.73</v>
      </c>
      <c r="C33" s="67">
        <f>+ROUNDUP((((C4*12/24+1)*2+(C5*12/24+1)*2+C13)*5)/180,0)</f>
        <v>1</v>
      </c>
      <c r="D33" s="54">
        <f t="shared" si="0"/>
        <v>5.73</v>
      </c>
    </row>
    <row r="34" spans="1:4" x14ac:dyDescent="0.2">
      <c r="A34" s="9" t="s">
        <v>24</v>
      </c>
      <c r="B34" s="24">
        <v>2</v>
      </c>
      <c r="C34" s="67">
        <f>+ROUNDUP(((((C4*12/24+1)*2+(C5*12/24+3)*2)*6+C13*10+4*12)/0.9)/50,0)</f>
        <v>6</v>
      </c>
      <c r="D34" s="54">
        <f t="shared" si="0"/>
        <v>12</v>
      </c>
    </row>
    <row r="35" spans="1:4" x14ac:dyDescent="0.2">
      <c r="A35" s="11" t="s">
        <v>12</v>
      </c>
      <c r="B35" s="27"/>
      <c r="C35" s="41"/>
    </row>
    <row r="36" spans="1:4" x14ac:dyDescent="0.2">
      <c r="A36" s="9" t="s">
        <v>36</v>
      </c>
      <c r="B36" s="24">
        <v>0.77</v>
      </c>
      <c r="C36" s="67">
        <f>39+C5</f>
        <v>55</v>
      </c>
      <c r="D36" s="54">
        <f t="shared" si="0"/>
        <v>42.35</v>
      </c>
    </row>
    <row r="37" spans="1:4" x14ac:dyDescent="0.2">
      <c r="A37" s="9" t="s">
        <v>38</v>
      </c>
      <c r="B37" s="24">
        <v>7.79</v>
      </c>
      <c r="C37" s="67">
        <v>1</v>
      </c>
      <c r="D37" s="54">
        <f t="shared" si="0"/>
        <v>7.79</v>
      </c>
    </row>
    <row r="38" spans="1:4" x14ac:dyDescent="0.2">
      <c r="A38" s="9" t="s">
        <v>16</v>
      </c>
      <c r="B38" s="24">
        <v>5.97</v>
      </c>
      <c r="C38" s="67">
        <v>2</v>
      </c>
      <c r="D38" s="54">
        <f t="shared" si="0"/>
        <v>11.94</v>
      </c>
    </row>
    <row r="39" spans="1:4" x14ac:dyDescent="0.2">
      <c r="A39" s="9" t="s">
        <v>17</v>
      </c>
      <c r="B39" s="24">
        <v>3.59</v>
      </c>
      <c r="C39" s="67">
        <v>3</v>
      </c>
      <c r="D39" s="54">
        <f t="shared" si="0"/>
        <v>10.77</v>
      </c>
    </row>
    <row r="40" spans="1:4" x14ac:dyDescent="0.2">
      <c r="A40" s="9" t="s">
        <v>37</v>
      </c>
      <c r="B40" s="24">
        <v>4.24</v>
      </c>
      <c r="C40" s="67">
        <v>1</v>
      </c>
      <c r="D40" s="54">
        <f t="shared" si="0"/>
        <v>4.24</v>
      </c>
    </row>
    <row r="41" spans="1:4" x14ac:dyDescent="0.2">
      <c r="A41" s="9" t="s">
        <v>18</v>
      </c>
      <c r="B41" s="24">
        <v>8.99</v>
      </c>
      <c r="C41" s="67">
        <v>1</v>
      </c>
      <c r="D41" s="54">
        <f t="shared" si="0"/>
        <v>8.99</v>
      </c>
    </row>
    <row r="42" spans="1:4" x14ac:dyDescent="0.2">
      <c r="A42" s="9" t="s">
        <v>19</v>
      </c>
      <c r="B42" s="24">
        <v>16.989999999999998</v>
      </c>
      <c r="C42" s="67">
        <v>1</v>
      </c>
      <c r="D42" s="54">
        <f t="shared" si="0"/>
        <v>16.989999999999998</v>
      </c>
    </row>
    <row r="43" spans="1:4" x14ac:dyDescent="0.2">
      <c r="A43" s="9" t="s">
        <v>20</v>
      </c>
      <c r="B43" s="24">
        <v>0.99</v>
      </c>
      <c r="C43" s="67">
        <v>2</v>
      </c>
      <c r="D43" s="54">
        <f t="shared" si="0"/>
        <v>1.98</v>
      </c>
    </row>
    <row r="44" spans="1:4" x14ac:dyDescent="0.2">
      <c r="A44" s="9" t="s">
        <v>21</v>
      </c>
      <c r="B44" s="24">
        <v>15.52</v>
      </c>
      <c r="C44" s="67">
        <v>1</v>
      </c>
      <c r="D44" s="54">
        <f t="shared" si="0"/>
        <v>15.52</v>
      </c>
    </row>
    <row r="45" spans="1:4" x14ac:dyDescent="0.2">
      <c r="A45" s="11" t="s">
        <v>25</v>
      </c>
      <c r="B45" s="13"/>
      <c r="C45" s="41"/>
    </row>
    <row r="46" spans="1:4" x14ac:dyDescent="0.2">
      <c r="A46" s="14" t="str">
        <f>+"Plastic corrigated panel (ceiling) "&amp;TEXT(C4,"###")&amp;" ft by 36 inch width"</f>
        <v>Plastic corrigated panel (ceiling) 12 ft by 36 inch width</v>
      </c>
      <c r="B46" s="24">
        <v>28.56</v>
      </c>
      <c r="C46" s="67">
        <f>+ROUNDUP(C5/3,0)</f>
        <v>6</v>
      </c>
      <c r="D46" s="54">
        <f t="shared" ref="D46:D48" si="1">+C46*B46</f>
        <v>171.35999999999999</v>
      </c>
    </row>
    <row r="47" spans="1:4" x14ac:dyDescent="0.2">
      <c r="A47" s="14" t="s">
        <v>94</v>
      </c>
      <c r="B47" s="24">
        <v>6.9</v>
      </c>
      <c r="C47" s="67">
        <f>+ROUND(C4*3*C46/(2*100),0)</f>
        <v>1</v>
      </c>
      <c r="D47" s="54">
        <f t="shared" si="1"/>
        <v>6.9</v>
      </c>
    </row>
    <row r="48" spans="1:4" x14ac:dyDescent="0.2">
      <c r="A48" s="14" t="s">
        <v>59</v>
      </c>
      <c r="B48" s="24">
        <v>4.1900000000000004</v>
      </c>
      <c r="C48" s="67">
        <f>+ROUNDUP((C4+C5)*2/10,0)</f>
        <v>6</v>
      </c>
      <c r="D48" s="54">
        <f t="shared" si="1"/>
        <v>25.14</v>
      </c>
    </row>
    <row r="49" spans="1:4" x14ac:dyDescent="0.2">
      <c r="A49" s="9" t="s">
        <v>26</v>
      </c>
      <c r="B49" s="24">
        <v>22.99</v>
      </c>
      <c r="C49" s="67">
        <f>+C16</f>
        <v>19</v>
      </c>
      <c r="D49" s="54">
        <f t="shared" si="0"/>
        <v>436.80999999999995</v>
      </c>
    </row>
    <row r="50" spans="1:4" x14ac:dyDescent="0.2">
      <c r="A50" s="9" t="s">
        <v>93</v>
      </c>
      <c r="B50" s="24">
        <v>2.99</v>
      </c>
      <c r="C50" s="67">
        <f>ROUND(28*C49/25,0)</f>
        <v>21</v>
      </c>
      <c r="D50" s="54">
        <f t="shared" si="0"/>
        <v>62.790000000000006</v>
      </c>
    </row>
    <row r="51" spans="1:4" x14ac:dyDescent="0.2">
      <c r="A51" s="9" t="s">
        <v>39</v>
      </c>
      <c r="B51" s="24">
        <v>2.2799999999999998</v>
      </c>
      <c r="C51" s="67">
        <f>+(ROUNDUP(C4/4-1,0)+ROUNDUP(C5/4-1,0))*2</f>
        <v>10</v>
      </c>
      <c r="D51" s="54">
        <f t="shared" si="0"/>
        <v>22.799999999999997</v>
      </c>
    </row>
    <row r="52" spans="1:4" x14ac:dyDescent="0.2">
      <c r="A52" s="9" t="s">
        <v>41</v>
      </c>
      <c r="B52" s="24">
        <v>2.2799999999999998</v>
      </c>
      <c r="C52" s="67">
        <f>+(ROUNDUP(C4/8,0)+ROUNDUP(C5/8,0))*2+4</f>
        <v>12</v>
      </c>
      <c r="D52" s="54">
        <f t="shared" si="0"/>
        <v>27.36</v>
      </c>
    </row>
    <row r="53" spans="1:4" x14ac:dyDescent="0.2">
      <c r="A53" s="9" t="s">
        <v>40</v>
      </c>
      <c r="B53" s="24">
        <v>2.2799999999999998</v>
      </c>
      <c r="C53" s="67">
        <v>4</v>
      </c>
      <c r="D53" s="54">
        <f t="shared" si="0"/>
        <v>9.1199999999999992</v>
      </c>
    </row>
    <row r="54" spans="1:4" x14ac:dyDescent="0.2">
      <c r="A54" s="9" t="s">
        <v>62</v>
      </c>
      <c r="B54" s="24">
        <v>21</v>
      </c>
      <c r="C54" s="67">
        <f>+ROUNDUP((C4*8.5*2+C5*8.5*2+C4*C5)/300,0)</f>
        <v>3</v>
      </c>
      <c r="D54" s="54">
        <f t="shared" si="0"/>
        <v>63</v>
      </c>
    </row>
    <row r="55" spans="1:4" x14ac:dyDescent="0.2">
      <c r="A55" s="9" t="s">
        <v>63</v>
      </c>
      <c r="B55" s="24">
        <v>22</v>
      </c>
      <c r="C55" s="67">
        <f>+ROUNDUP((C4*8.5*2+C5*8.5*2+C4*C5)/300,0)</f>
        <v>3</v>
      </c>
      <c r="D55" s="54">
        <f t="shared" si="0"/>
        <v>66</v>
      </c>
    </row>
    <row r="56" spans="1:4" x14ac:dyDescent="0.2">
      <c r="A56" s="11" t="s">
        <v>60</v>
      </c>
      <c r="B56" s="13"/>
      <c r="C56" s="41"/>
    </row>
    <row r="57" spans="1:4" x14ac:dyDescent="0.2">
      <c r="A57" s="15" t="s">
        <v>87</v>
      </c>
      <c r="B57" s="59" t="s">
        <v>115</v>
      </c>
      <c r="C57" s="41"/>
    </row>
    <row r="58" spans="1:4" x14ac:dyDescent="0.2">
      <c r="A58" s="14" t="s">
        <v>86</v>
      </c>
      <c r="B58" s="59">
        <v>1.8</v>
      </c>
      <c r="C58" s="67">
        <f>+IF(AND(B57="Flat",C8="Outside"),(C4+2)*(C5+2),0)</f>
        <v>0</v>
      </c>
      <c r="D58" s="54">
        <f t="shared" si="0"/>
        <v>0</v>
      </c>
    </row>
    <row r="59" spans="1:4" x14ac:dyDescent="0.2">
      <c r="A59" s="14" t="s">
        <v>88</v>
      </c>
      <c r="B59" s="59">
        <v>53</v>
      </c>
      <c r="C59" s="67">
        <f>+IF(C8="inside",0,IF(AND(B57="Flat",C8="Outside"),IF(MAX(C4+2,C5+2)&gt;10,ROUNDUP(MAX(C4+2,C5+2)/25,0)),0))</f>
        <v>0</v>
      </c>
      <c r="D59" s="54">
        <f t="shared" si="0"/>
        <v>0</v>
      </c>
    </row>
    <row r="60" spans="1:4" x14ac:dyDescent="0.2">
      <c r="A60" s="14" t="s">
        <v>89</v>
      </c>
      <c r="B60" s="59">
        <v>8</v>
      </c>
      <c r="C60" s="67">
        <f>+IF(C8="inside",0,IF(AND(B57="Flat",C8="Outside"),ROUNDUP((C4*2+C5*2)*1.1/10,0),0))</f>
        <v>0</v>
      </c>
      <c r="D60" s="54">
        <f t="shared" si="0"/>
        <v>0</v>
      </c>
    </row>
    <row r="61" spans="1:4" x14ac:dyDescent="0.2">
      <c r="A61" s="79" t="s">
        <v>108</v>
      </c>
      <c r="B61" s="13"/>
      <c r="C61" s="41"/>
    </row>
    <row r="62" spans="1:4" s="57" customFormat="1" x14ac:dyDescent="0.2">
      <c r="A62" s="35" t="s">
        <v>132</v>
      </c>
      <c r="B62" s="77">
        <v>16</v>
      </c>
      <c r="C62" s="78" t="s">
        <v>131</v>
      </c>
    </row>
    <row r="63" spans="1:4" x14ac:dyDescent="0.2">
      <c r="A63" s="9" t="str">
        <f>+"Roof Truss 4/12 pitch, " &amp;TEXT(C4,"###") &amp; "ft span"</f>
        <v>Roof Truss 4/12 pitch, 12ft span</v>
      </c>
      <c r="B63" s="24">
        <v>34.19</v>
      </c>
      <c r="C63" s="67">
        <f>+IF(AND(B57="Pitched",C8="outside"),ROUNDUP(C5/(B62/12)+1,0),0)</f>
        <v>13</v>
      </c>
      <c r="D63" s="54">
        <f>+C63*B63</f>
        <v>444.46999999999997</v>
      </c>
    </row>
    <row r="64" spans="1:4" x14ac:dyDescent="0.2">
      <c r="A64" s="9" t="s">
        <v>51</v>
      </c>
      <c r="B64" s="24">
        <v>15.95</v>
      </c>
      <c r="C64" s="67">
        <f>+IF(AND(B57="Pitched",C8="outside"),ROUNDUP(C4/24*4*C4*1.2/32,0),0)</f>
        <v>1</v>
      </c>
      <c r="D64" s="54">
        <f>+C64*B64</f>
        <v>15.95</v>
      </c>
    </row>
    <row r="65" spans="1:10" x14ac:dyDescent="0.2">
      <c r="A65" s="9" t="s">
        <v>52</v>
      </c>
      <c r="B65" s="24">
        <v>11.49</v>
      </c>
      <c r="C65" s="67">
        <f>+IF(AND(B57="Pitched",C8="outside"),2,0)</f>
        <v>2</v>
      </c>
      <c r="D65" s="54">
        <f>+C65*B65</f>
        <v>22.98</v>
      </c>
    </row>
    <row r="66" spans="1:10" x14ac:dyDescent="0.2">
      <c r="A66" s="9" t="str">
        <f>+"2x4 x "&amp;TEXT(C4,"###")&amp;"ft - Roof purlins"</f>
        <v>2x4 x 12ft - Roof purlins</v>
      </c>
      <c r="B66" s="24">
        <v>5.49</v>
      </c>
      <c r="C66" s="67">
        <f>+IF(AND(B57="Pitched",C8="outside"),(ROUNDUP(SQRT((C4/24*4)^2+(C4/2)^2)/2,0)+1)*2,0)</f>
        <v>10</v>
      </c>
      <c r="D66" s="54">
        <f>+C66*B66</f>
        <v>54.900000000000006</v>
      </c>
    </row>
    <row r="67" spans="1:10" x14ac:dyDescent="0.2">
      <c r="A67" s="9" t="str">
        <f>+"Steel Roofing (coverage 36 inches) x " &amp;EVEN(SQRT((C4/24*4)^2+(C4/2)^2)) &amp;" feet"</f>
        <v>Steel Roofing (coverage 36 inches) x 8 feet</v>
      </c>
      <c r="B67" s="24">
        <v>15.59</v>
      </c>
      <c r="C67" s="67">
        <f>+IF(AND(B57="Pitched",C8="outside"),ROUNDUP(C5/3,0)*2,0)</f>
        <v>12</v>
      </c>
      <c r="D67" s="54">
        <f t="shared" ref="D67:D73" si="2">+C67*B67</f>
        <v>187.07999999999998</v>
      </c>
    </row>
    <row r="68" spans="1:10" x14ac:dyDescent="0.2">
      <c r="A68" s="9" t="s">
        <v>53</v>
      </c>
      <c r="B68" s="24">
        <v>4.93</v>
      </c>
      <c r="C68" s="67">
        <f>+IF(AND(B57="Pitched",C8="outside"),ROUNDUP(C5/10,0),0)</f>
        <v>2</v>
      </c>
      <c r="D68" s="54">
        <f t="shared" si="2"/>
        <v>9.86</v>
      </c>
    </row>
    <row r="69" spans="1:10" x14ac:dyDescent="0.2">
      <c r="A69" s="9" t="s">
        <v>55</v>
      </c>
      <c r="B69" s="24">
        <v>19.489999999999998</v>
      </c>
      <c r="C69" s="67">
        <f>+IF(AND(B57="Pitched",C8="outside"),ROUNDUP((C4+C5)*2/3,0),0)</f>
        <v>19</v>
      </c>
      <c r="D69" s="54">
        <f t="shared" si="2"/>
        <v>370.30999999999995</v>
      </c>
    </row>
    <row r="70" spans="1:10" x14ac:dyDescent="0.2">
      <c r="A70" s="9" t="s">
        <v>57</v>
      </c>
      <c r="B70" s="24">
        <v>8.7899999999999991</v>
      </c>
      <c r="C70" s="67">
        <f>+IF(AND(B57="Pitched",C8="outside"),ROUNDUP((C4+C5)*2/12,0),0)</f>
        <v>5</v>
      </c>
      <c r="D70" s="54">
        <f t="shared" si="2"/>
        <v>43.949999999999996</v>
      </c>
    </row>
    <row r="71" spans="1:10" x14ac:dyDescent="0.2">
      <c r="A71" s="9" t="s">
        <v>58</v>
      </c>
      <c r="B71" s="24">
        <v>10.59</v>
      </c>
      <c r="C71" s="67">
        <f>+IF(AND(B57="Pitched",C8="outside"),3,0)</f>
        <v>3</v>
      </c>
      <c r="D71" s="54">
        <f t="shared" si="2"/>
        <v>31.77</v>
      </c>
    </row>
    <row r="72" spans="1:10" x14ac:dyDescent="0.2">
      <c r="A72" s="9" t="s">
        <v>56</v>
      </c>
      <c r="B72" s="24">
        <v>5.59</v>
      </c>
      <c r="C72" s="67">
        <f>+IF(AND(B57="Pitched",C8="outside"),ROUNDUP((C4+C5)*2/10+8+3,0),0)</f>
        <v>17</v>
      </c>
      <c r="D72" s="54">
        <f t="shared" si="2"/>
        <v>95.03</v>
      </c>
    </row>
    <row r="73" spans="1:10" x14ac:dyDescent="0.2">
      <c r="A73" s="9" t="s">
        <v>54</v>
      </c>
      <c r="B73" s="24">
        <v>6.89</v>
      </c>
      <c r="C73" s="67">
        <f>+IF(AND(B57="Pitched",C8="outside"),ROUNDUP((C66*C5+C72*10/1.5+C71*8/1.5+C69*5*3)/100,0),0)</f>
        <v>6</v>
      </c>
      <c r="D73" s="54">
        <f t="shared" si="2"/>
        <v>41.339999999999996</v>
      </c>
    </row>
    <row r="76" spans="1:10" x14ac:dyDescent="0.2">
      <c r="A76" s="16" t="s">
        <v>96</v>
      </c>
      <c r="B76" s="12"/>
      <c r="C76" s="12"/>
      <c r="D76" s="17">
        <f>SUM(D11:D73)</f>
        <v>4485.3399999999992</v>
      </c>
    </row>
    <row r="78" spans="1:10" x14ac:dyDescent="0.2">
      <c r="A78" s="9" t="s">
        <v>64</v>
      </c>
      <c r="I78" s="26" t="s">
        <v>84</v>
      </c>
    </row>
    <row r="79" spans="1:10" x14ac:dyDescent="0.2">
      <c r="A79" s="9" t="s">
        <v>76</v>
      </c>
      <c r="B79" s="18">
        <f xml:space="preserve"> ROUNDUP(45.393*C7^0.7112,-2)</f>
        <v>8400</v>
      </c>
      <c r="C79" s="12" t="s">
        <v>75</v>
      </c>
      <c r="D79" s="17">
        <f>0.1072*B79 + 2074.5</f>
        <v>2974.98</v>
      </c>
      <c r="E79" s="9" t="s">
        <v>82</v>
      </c>
      <c r="I79" s="26" t="s">
        <v>100</v>
      </c>
      <c r="J79" s="9" t="s">
        <v>85</v>
      </c>
    </row>
    <row r="80" spans="1:10" ht="25.5" x14ac:dyDescent="0.2">
      <c r="A80" s="19" t="s">
        <v>77</v>
      </c>
      <c r="I80" s="9">
        <v>10000</v>
      </c>
      <c r="J80" s="25">
        <v>269</v>
      </c>
    </row>
    <row r="81" spans="1:10" ht="13.5" thickBot="1" x14ac:dyDescent="0.25">
      <c r="A81" s="9" t="s">
        <v>65</v>
      </c>
      <c r="D81" s="24">
        <v>300</v>
      </c>
      <c r="I81" s="9">
        <v>12000</v>
      </c>
      <c r="J81" s="25">
        <v>319</v>
      </c>
    </row>
    <row r="82" spans="1:10" ht="13.5" thickBot="1" x14ac:dyDescent="0.25">
      <c r="A82" s="9" t="s">
        <v>83</v>
      </c>
      <c r="B82" s="12">
        <f>+ROUNDUP(C4*C5*8*23,-3)</f>
        <v>36000</v>
      </c>
      <c r="C82" s="12">
        <f>+IF(B82&gt;24000,ROUNDUP(B82/24000,0),1)</f>
        <v>2</v>
      </c>
      <c r="D82" s="12">
        <f>+VLOOKUP(ROUNDUP(B82/C82,-3),I80:J86,2,TRUE)*C82</f>
        <v>998</v>
      </c>
      <c r="E82" s="21">
        <f>+B82/C82</f>
        <v>18000</v>
      </c>
      <c r="F82" s="22" t="s">
        <v>98</v>
      </c>
      <c r="G82" s="23"/>
      <c r="I82" s="9">
        <v>14000</v>
      </c>
      <c r="J82" s="25">
        <v>399</v>
      </c>
    </row>
    <row r="83" spans="1:10" x14ac:dyDescent="0.2">
      <c r="A83" s="9" t="s">
        <v>79</v>
      </c>
      <c r="I83" s="9">
        <v>18000</v>
      </c>
      <c r="J83" s="25">
        <v>499</v>
      </c>
    </row>
    <row r="84" spans="1:10" x14ac:dyDescent="0.2">
      <c r="J84" s="25"/>
    </row>
    <row r="85" spans="1:10" x14ac:dyDescent="0.2">
      <c r="A85" s="9" t="s">
        <v>99</v>
      </c>
      <c r="D85" s="17">
        <f>+D76</f>
        <v>4485.3399999999992</v>
      </c>
      <c r="J85" s="25"/>
    </row>
    <row r="86" spans="1:10" x14ac:dyDescent="0.2">
      <c r="I86" s="9">
        <v>24000</v>
      </c>
      <c r="J86" s="25">
        <v>599</v>
      </c>
    </row>
    <row r="87" spans="1:10" x14ac:dyDescent="0.2">
      <c r="D87" s="17">
        <f>+D76+D79+D85</f>
        <v>11945.66</v>
      </c>
      <c r="E87" s="12" t="s">
        <v>90</v>
      </c>
      <c r="F87" s="12"/>
    </row>
    <row r="88" spans="1:10" x14ac:dyDescent="0.2">
      <c r="D88" s="17">
        <f>+D76+D81+D82+D85</f>
        <v>10268.679999999998</v>
      </c>
      <c r="E88" s="12" t="s">
        <v>97</v>
      </c>
      <c r="F88" s="12"/>
    </row>
  </sheetData>
  <sheetProtection algorithmName="SHA-512" hashValue="mgd1C4g0R1Qedp+k8FcwtSZVfoJvJ4DgWCHIdARo/gwXPjBfEi9S3wvydeBISSkmJ+2fjYX3b1j1adHpLEtiDw==" saltValue="CDKFnTF24Qv//GyI9Ks1zg==" spinCount="100000" sheet="1" objects="1" scenarios="1"/>
  <mergeCells count="1">
    <mergeCell ref="A2:D2"/>
  </mergeCells>
  <dataValidations count="3">
    <dataValidation type="list" allowBlank="1" showInputMessage="1" showErrorMessage="1" sqref="C8">
      <formula1>"Inside, Outside"</formula1>
    </dataValidation>
    <dataValidation type="list" allowBlank="1" showInputMessage="1" showErrorMessage="1" sqref="B57">
      <formula1>"Flat, Pitched"</formula1>
    </dataValidation>
    <dataValidation type="list" allowBlank="1" showInputMessage="1" showErrorMessage="1" sqref="B62">
      <formula1>"12, 16, 24, 36, 48"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opLeftCell="A55" zoomScaleNormal="100" workbookViewId="0">
      <selection activeCell="H68" sqref="H68"/>
    </sheetView>
  </sheetViews>
  <sheetFormatPr defaultRowHeight="12.75" x14ac:dyDescent="0.2"/>
  <cols>
    <col min="1" max="1" width="48.85546875" customWidth="1"/>
  </cols>
  <sheetData>
    <row r="1" spans="1:4" x14ac:dyDescent="0.2">
      <c r="C1" t="s">
        <v>46</v>
      </c>
    </row>
    <row r="2" spans="1:4" x14ac:dyDescent="0.2">
      <c r="B2" t="s">
        <v>31</v>
      </c>
      <c r="C2">
        <v>12</v>
      </c>
    </row>
    <row r="3" spans="1:4" x14ac:dyDescent="0.2">
      <c r="B3" t="s">
        <v>32</v>
      </c>
      <c r="C3">
        <v>12</v>
      </c>
    </row>
    <row r="4" spans="1:4" x14ac:dyDescent="0.2">
      <c r="B4" s="5" t="s">
        <v>73</v>
      </c>
      <c r="C4">
        <f>+C3*C2*8</f>
        <v>1152</v>
      </c>
      <c r="D4" t="s">
        <v>74</v>
      </c>
    </row>
    <row r="5" spans="1:4" x14ac:dyDescent="0.2">
      <c r="B5" t="s">
        <v>47</v>
      </c>
      <c r="C5" t="s">
        <v>48</v>
      </c>
    </row>
    <row r="6" spans="1:4" x14ac:dyDescent="0.2">
      <c r="A6" t="s">
        <v>5</v>
      </c>
    </row>
    <row r="7" spans="1:4" x14ac:dyDescent="0.2">
      <c r="A7" s="1" t="s">
        <v>4</v>
      </c>
      <c r="B7" t="s">
        <v>27</v>
      </c>
      <c r="C7" t="s">
        <v>29</v>
      </c>
      <c r="D7" t="s">
        <v>30</v>
      </c>
    </row>
    <row r="8" spans="1:4" x14ac:dyDescent="0.2">
      <c r="A8" t="s">
        <v>11</v>
      </c>
      <c r="B8">
        <v>3.82</v>
      </c>
      <c r="C8" s="2">
        <f>+(C2*12/48+1)*2+(C3*12/48+3)*2</f>
        <v>20</v>
      </c>
      <c r="D8">
        <f>+C8*B8</f>
        <v>76.399999999999991</v>
      </c>
    </row>
    <row r="9" spans="1:4" x14ac:dyDescent="0.2">
      <c r="A9" t="str">
        <f>"2 x 6 x " &amp;TEXT(C2,"###") &amp;" ft (Sill &amp; header plates)"</f>
        <v>2 x 6 x 12 ft (Sill &amp; header plates)</v>
      </c>
      <c r="B9">
        <v>6.79</v>
      </c>
      <c r="C9" s="2">
        <v>6</v>
      </c>
      <c r="D9">
        <f>+C9*B9</f>
        <v>40.74</v>
      </c>
    </row>
    <row r="10" spans="1:4" x14ac:dyDescent="0.2">
      <c r="A10" t="str">
        <f>+"2 x 6 x " &amp;TEXT(C2,"###") &amp;" ft  (ceiling) (48 inch OC)"</f>
        <v>2 x 6 x 12 ft  (ceiling) (48 inch OC)</v>
      </c>
      <c r="B10">
        <v>6.79</v>
      </c>
      <c r="C10">
        <f>+IF(C5="inside",ROUNDUP(C3/4+1,0),0)</f>
        <v>4</v>
      </c>
      <c r="D10">
        <f t="shared" ref="D10:D65" si="0">+C10*B10</f>
        <v>27.16</v>
      </c>
    </row>
    <row r="11" spans="1:4" x14ac:dyDescent="0.2">
      <c r="A11" t="str">
        <f>"2 x 6 x " &amp;TEXT(C3,"###") &amp;" ft (Sill &amp; header plates)"</f>
        <v>2 x 6 x 12 ft (Sill &amp; header plates)</v>
      </c>
      <c r="B11">
        <v>6.79</v>
      </c>
      <c r="C11">
        <v>8</v>
      </c>
      <c r="D11">
        <f t="shared" si="0"/>
        <v>54.32</v>
      </c>
    </row>
    <row r="12" spans="1:4" x14ac:dyDescent="0.2">
      <c r="A12" t="s">
        <v>33</v>
      </c>
      <c r="B12">
        <v>15.95</v>
      </c>
      <c r="C12">
        <f>+ROUNDUP(((C2*2+C3*2)*8.5+C2*C3)/32,0)</f>
        <v>18</v>
      </c>
      <c r="D12">
        <f t="shared" si="0"/>
        <v>287.09999999999997</v>
      </c>
    </row>
    <row r="13" spans="1:4" x14ac:dyDescent="0.2">
      <c r="A13" t="s">
        <v>34</v>
      </c>
      <c r="B13">
        <v>15.95</v>
      </c>
      <c r="C13">
        <f>+ROUNDUP((C2-11/12)/4,0)*2+ROUNDUP((C3-11/12)/4,0)*2+ROUNDUP(C2*C3/32,0)</f>
        <v>17</v>
      </c>
      <c r="D13">
        <f t="shared" si="0"/>
        <v>271.14999999999998</v>
      </c>
    </row>
    <row r="14" spans="1:4" x14ac:dyDescent="0.2">
      <c r="A14" t="str">
        <f>+"2x4 x "&amp;TEXT(C3,"###")&amp;"ft - wall &amp; ceiling purlans"</f>
        <v>2x4 x 12ft - wall &amp; ceiling purlans</v>
      </c>
      <c r="B14">
        <v>5.49</v>
      </c>
      <c r="C14">
        <f>10+C2/2+1</f>
        <v>17</v>
      </c>
      <c r="D14">
        <f t="shared" si="0"/>
        <v>93.33</v>
      </c>
    </row>
    <row r="15" spans="1:4" x14ac:dyDescent="0.2">
      <c r="A15" t="str">
        <f>+"2x4 x "&amp;TEXT(C2,"###")&amp;"ft - wall purlins"</f>
        <v>2x4 x 12ft - wall purlins</v>
      </c>
      <c r="B15">
        <v>5.49</v>
      </c>
      <c r="C15">
        <v>10</v>
      </c>
      <c r="D15">
        <f t="shared" si="0"/>
        <v>54.900000000000006</v>
      </c>
    </row>
    <row r="16" spans="1:4" x14ac:dyDescent="0.2">
      <c r="A16" t="s">
        <v>50</v>
      </c>
      <c r="B16">
        <v>5.25</v>
      </c>
      <c r="C16">
        <v>2</v>
      </c>
      <c r="D16">
        <f t="shared" si="0"/>
        <v>10.5</v>
      </c>
    </row>
    <row r="17" spans="1:4" x14ac:dyDescent="0.2">
      <c r="A17" t="s">
        <v>0</v>
      </c>
      <c r="B17">
        <v>1.6</v>
      </c>
      <c r="C17">
        <v>1</v>
      </c>
      <c r="D17">
        <f t="shared" si="0"/>
        <v>1.6</v>
      </c>
    </row>
    <row r="18" spans="1:4" x14ac:dyDescent="0.2">
      <c r="A18" s="1" t="s">
        <v>1</v>
      </c>
    </row>
    <row r="19" spans="1:4" x14ac:dyDescent="0.2">
      <c r="A19" t="s">
        <v>49</v>
      </c>
      <c r="B19">
        <v>19.87</v>
      </c>
      <c r="C19">
        <f>+ROUNDUP((((C2-11/12)*2+(C3-11/12)*2)*8+(C2-11/12)*(C3-11/12))/32,0)</f>
        <v>15</v>
      </c>
      <c r="D19">
        <f t="shared" si="0"/>
        <v>298.05</v>
      </c>
    </row>
    <row r="20" spans="1:4" x14ac:dyDescent="0.2">
      <c r="A20" t="s">
        <v>44</v>
      </c>
      <c r="B20">
        <v>8.75</v>
      </c>
      <c r="C20">
        <f>+ROUNDUP((C2*12/48)*2+((C3*12-11)/48)*2,0)+ROUNDUP(C2*C3/32,0)</f>
        <v>17</v>
      </c>
      <c r="D20">
        <f t="shared" si="0"/>
        <v>148.75</v>
      </c>
    </row>
    <row r="21" spans="1:4" x14ac:dyDescent="0.2">
      <c r="A21" t="s">
        <v>45</v>
      </c>
      <c r="B21">
        <v>11.59</v>
      </c>
      <c r="C21">
        <f>+(ROUNDUP((C2*12/48)*2+((C3*12-11)/48)*2,0)+ROUNDUP(C2*C3/32,0))*2</f>
        <v>34</v>
      </c>
      <c r="D21">
        <f t="shared" si="0"/>
        <v>394.06</v>
      </c>
    </row>
    <row r="22" spans="1:4" x14ac:dyDescent="0.2">
      <c r="A22" t="s">
        <v>8</v>
      </c>
      <c r="B22">
        <v>184</v>
      </c>
      <c r="C22">
        <v>1</v>
      </c>
      <c r="D22">
        <f t="shared" si="0"/>
        <v>184</v>
      </c>
    </row>
    <row r="23" spans="1:4" x14ac:dyDescent="0.2">
      <c r="A23" t="s">
        <v>2</v>
      </c>
      <c r="B23">
        <v>5.97</v>
      </c>
      <c r="C23">
        <v>2</v>
      </c>
      <c r="D23">
        <f t="shared" si="0"/>
        <v>11.94</v>
      </c>
    </row>
    <row r="24" spans="1:4" x14ac:dyDescent="0.2">
      <c r="A24" t="s">
        <v>13</v>
      </c>
      <c r="B24">
        <v>14.99</v>
      </c>
      <c r="C24">
        <f>+ROUNDUP(((C19+4)*8)/150,0)</f>
        <v>2</v>
      </c>
      <c r="D24">
        <f t="shared" si="0"/>
        <v>29.98</v>
      </c>
    </row>
    <row r="25" spans="1:4" x14ac:dyDescent="0.2">
      <c r="A25" t="s">
        <v>14</v>
      </c>
      <c r="B25">
        <v>5.98</v>
      </c>
      <c r="C25">
        <f>+ROUNDUP(C8*5/200,0)</f>
        <v>1</v>
      </c>
      <c r="D25">
        <f t="shared" si="0"/>
        <v>5.98</v>
      </c>
    </row>
    <row r="26" spans="1:4" x14ac:dyDescent="0.2">
      <c r="A26" s="1" t="s">
        <v>3</v>
      </c>
    </row>
    <row r="27" spans="1:4" x14ac:dyDescent="0.2">
      <c r="A27" t="s">
        <v>6</v>
      </c>
      <c r="B27">
        <v>10</v>
      </c>
      <c r="C27">
        <v>1</v>
      </c>
      <c r="D27">
        <f t="shared" si="0"/>
        <v>10</v>
      </c>
    </row>
    <row r="28" spans="1:4" x14ac:dyDescent="0.2">
      <c r="A28" t="s">
        <v>35</v>
      </c>
      <c r="B28">
        <f>0.97*20</f>
        <v>19.399999999999999</v>
      </c>
      <c r="C28">
        <f>+ROUNDUP((C2*2+C3*2)/20,0)</f>
        <v>3</v>
      </c>
      <c r="D28">
        <f t="shared" si="0"/>
        <v>58.199999999999996</v>
      </c>
    </row>
    <row r="29" spans="1:4" x14ac:dyDescent="0.2">
      <c r="A29" t="s">
        <v>7</v>
      </c>
      <c r="B29">
        <v>32.270000000000003</v>
      </c>
      <c r="C29">
        <f>+ROUNDUP(((C2/2+1)*2+(C3/2+1)*2)/50,0)</f>
        <v>1</v>
      </c>
      <c r="D29">
        <f t="shared" si="0"/>
        <v>32.270000000000003</v>
      </c>
    </row>
    <row r="30" spans="1:4" x14ac:dyDescent="0.2">
      <c r="A30" t="s">
        <v>15</v>
      </c>
      <c r="B30">
        <v>2.67</v>
      </c>
      <c r="C30">
        <v>3</v>
      </c>
      <c r="D30">
        <f t="shared" si="0"/>
        <v>8.01</v>
      </c>
    </row>
    <row r="31" spans="1:4" x14ac:dyDescent="0.2">
      <c r="A31" t="s">
        <v>22</v>
      </c>
      <c r="B31">
        <v>5.73</v>
      </c>
      <c r="C31">
        <f>+ROUNDUP((((C2*12/24+1)*2+(C3*12/24+1)*2+C10)*5)/105,0)</f>
        <v>2</v>
      </c>
      <c r="D31">
        <f t="shared" si="0"/>
        <v>11.46</v>
      </c>
    </row>
    <row r="32" spans="1:4" x14ac:dyDescent="0.2">
      <c r="A32" t="s">
        <v>23</v>
      </c>
      <c r="B32">
        <v>5.73</v>
      </c>
      <c r="C32">
        <f>+ROUNDUP((((C2*12/24+1)*2+(C3*12/24+1)*2+C10)*5)/180,0)</f>
        <v>1</v>
      </c>
      <c r="D32">
        <f t="shared" si="0"/>
        <v>5.73</v>
      </c>
    </row>
    <row r="33" spans="1:4" x14ac:dyDescent="0.2">
      <c r="A33" t="s">
        <v>24</v>
      </c>
      <c r="B33">
        <v>2</v>
      </c>
      <c r="C33">
        <f>+ROUNDUP(((((C2*12/24+1)*2+(C3*12/24+3)*2)*6+C10*10+4*12)/0.9)/50,0)</f>
        <v>7</v>
      </c>
      <c r="D33">
        <f t="shared" si="0"/>
        <v>14</v>
      </c>
    </row>
    <row r="34" spans="1:4" x14ac:dyDescent="0.2">
      <c r="A34" s="1" t="s">
        <v>12</v>
      </c>
    </row>
    <row r="35" spans="1:4" x14ac:dyDescent="0.2">
      <c r="A35" t="s">
        <v>36</v>
      </c>
      <c r="B35">
        <v>0.77</v>
      </c>
      <c r="C35">
        <f>39+C3</f>
        <v>51</v>
      </c>
      <c r="D35">
        <f t="shared" si="0"/>
        <v>39.270000000000003</v>
      </c>
    </row>
    <row r="36" spans="1:4" x14ac:dyDescent="0.2">
      <c r="A36" t="s">
        <v>38</v>
      </c>
      <c r="B36">
        <v>7.79</v>
      </c>
      <c r="C36">
        <v>1</v>
      </c>
      <c r="D36">
        <f t="shared" si="0"/>
        <v>7.79</v>
      </c>
    </row>
    <row r="37" spans="1:4" x14ac:dyDescent="0.2">
      <c r="A37" t="s">
        <v>16</v>
      </c>
      <c r="B37">
        <v>5.97</v>
      </c>
      <c r="C37">
        <v>2</v>
      </c>
      <c r="D37">
        <f t="shared" si="0"/>
        <v>11.94</v>
      </c>
    </row>
    <row r="38" spans="1:4" x14ac:dyDescent="0.2">
      <c r="A38" t="s">
        <v>17</v>
      </c>
      <c r="B38">
        <v>3.59</v>
      </c>
      <c r="C38">
        <v>3</v>
      </c>
      <c r="D38">
        <f t="shared" si="0"/>
        <v>10.77</v>
      </c>
    </row>
    <row r="39" spans="1:4" x14ac:dyDescent="0.2">
      <c r="A39" t="s">
        <v>37</v>
      </c>
      <c r="B39">
        <v>4.24</v>
      </c>
      <c r="C39">
        <v>1</v>
      </c>
      <c r="D39">
        <f t="shared" si="0"/>
        <v>4.24</v>
      </c>
    </row>
    <row r="40" spans="1:4" x14ac:dyDescent="0.2">
      <c r="A40" t="s">
        <v>18</v>
      </c>
      <c r="B40">
        <v>8.99</v>
      </c>
      <c r="C40">
        <v>1</v>
      </c>
      <c r="D40">
        <f t="shared" si="0"/>
        <v>8.99</v>
      </c>
    </row>
    <row r="41" spans="1:4" x14ac:dyDescent="0.2">
      <c r="A41" t="s">
        <v>19</v>
      </c>
      <c r="B41">
        <v>16.989999999999998</v>
      </c>
      <c r="C41">
        <v>1</v>
      </c>
      <c r="D41">
        <f t="shared" si="0"/>
        <v>16.989999999999998</v>
      </c>
    </row>
    <row r="42" spans="1:4" x14ac:dyDescent="0.2">
      <c r="A42" t="s">
        <v>20</v>
      </c>
      <c r="B42">
        <v>0.99</v>
      </c>
      <c r="C42">
        <v>2</v>
      </c>
      <c r="D42">
        <f t="shared" si="0"/>
        <v>1.98</v>
      </c>
    </row>
    <row r="43" spans="1:4" x14ac:dyDescent="0.2">
      <c r="A43" t="s">
        <v>21</v>
      </c>
      <c r="B43">
        <v>15.52</v>
      </c>
      <c r="C43">
        <v>1</v>
      </c>
      <c r="D43">
        <f t="shared" si="0"/>
        <v>15.52</v>
      </c>
    </row>
    <row r="44" spans="1:4" x14ac:dyDescent="0.2">
      <c r="A44" s="1" t="s">
        <v>25</v>
      </c>
    </row>
    <row r="45" spans="1:4" x14ac:dyDescent="0.2">
      <c r="A45" s="3" t="str">
        <f>+"Plastic corrigated panel (ceiling cover) "&amp;TEXT(C2,"###")&amp;" ft length "</f>
        <v xml:space="preserve">Plastic corrigated panel (ceiling cover) 12 ft length </v>
      </c>
      <c r="B45">
        <v>24.99</v>
      </c>
      <c r="C45">
        <f>+ROUNDUP(C3/2,0)</f>
        <v>6</v>
      </c>
      <c r="D45">
        <f t="shared" si="0"/>
        <v>149.94</v>
      </c>
    </row>
    <row r="46" spans="1:4" x14ac:dyDescent="0.2">
      <c r="A46" s="3" t="s">
        <v>59</v>
      </c>
      <c r="B46">
        <v>4.1900000000000004</v>
      </c>
      <c r="C46">
        <f>+ROUNDUP((C2+C3)*2/10,0)</f>
        <v>5</v>
      </c>
      <c r="D46">
        <f t="shared" si="0"/>
        <v>20.950000000000003</v>
      </c>
    </row>
    <row r="47" spans="1:4" x14ac:dyDescent="0.2">
      <c r="A47" t="s">
        <v>26</v>
      </c>
      <c r="B47">
        <v>22.99</v>
      </c>
      <c r="C47">
        <f>+ROUNDUP((C2-11/12)/4,0)*2+ROUNDUP((C3-11/12)/4,0)*2</f>
        <v>12</v>
      </c>
      <c r="D47">
        <f t="shared" si="0"/>
        <v>275.88</v>
      </c>
    </row>
    <row r="48" spans="1:4" x14ac:dyDescent="0.2">
      <c r="A48" t="s">
        <v>42</v>
      </c>
    </row>
    <row r="49" spans="1:4" x14ac:dyDescent="0.2">
      <c r="A49" t="s">
        <v>39</v>
      </c>
      <c r="B49">
        <v>2.2799999999999998</v>
      </c>
      <c r="C49">
        <f>+(ROUNDUP(C2/4-1,0)+ROUNDUP(C3/4-1,0))*2</f>
        <v>8</v>
      </c>
      <c r="D49">
        <f t="shared" si="0"/>
        <v>18.239999999999998</v>
      </c>
    </row>
    <row r="50" spans="1:4" x14ac:dyDescent="0.2">
      <c r="A50" t="s">
        <v>41</v>
      </c>
      <c r="B50">
        <v>2.2799999999999998</v>
      </c>
      <c r="C50">
        <f>+(ROUNDUP(C2/8,0)+ROUNDUP(C3/8,0))*2+4</f>
        <v>12</v>
      </c>
      <c r="D50">
        <f t="shared" si="0"/>
        <v>27.36</v>
      </c>
    </row>
    <row r="51" spans="1:4" x14ac:dyDescent="0.2">
      <c r="A51" t="s">
        <v>40</v>
      </c>
      <c r="B51">
        <v>2.2799999999999998</v>
      </c>
      <c r="C51">
        <v>4</v>
      </c>
      <c r="D51">
        <f t="shared" si="0"/>
        <v>9.1199999999999992</v>
      </c>
    </row>
    <row r="52" spans="1:4" x14ac:dyDescent="0.2">
      <c r="A52" t="s">
        <v>62</v>
      </c>
      <c r="B52">
        <v>21</v>
      </c>
      <c r="C52">
        <f>+ROUNDUP((C2*8.5*2+C3*8.5*2+C3*C2)/300,0)</f>
        <v>2</v>
      </c>
      <c r="D52">
        <f t="shared" si="0"/>
        <v>42</v>
      </c>
    </row>
    <row r="53" spans="1:4" x14ac:dyDescent="0.2">
      <c r="A53" t="s">
        <v>63</v>
      </c>
      <c r="B53">
        <v>22</v>
      </c>
      <c r="C53">
        <f>+ROUNDUP((C2*8.5*2+C3*8.5*2+C3*C2)/300,0)</f>
        <v>2</v>
      </c>
      <c r="D53">
        <f t="shared" si="0"/>
        <v>44</v>
      </c>
    </row>
    <row r="54" spans="1:4" x14ac:dyDescent="0.2">
      <c r="A54" s="1" t="s">
        <v>60</v>
      </c>
    </row>
    <row r="55" spans="1:4" x14ac:dyDescent="0.2">
      <c r="A55" t="str">
        <f>+"Roof Truss 4/12 pitch, " &amp;TEXT(C2,"###") &amp; "ft span"</f>
        <v>Roof Truss 4/12 pitch, 12ft span</v>
      </c>
      <c r="B55">
        <v>34.19</v>
      </c>
      <c r="C55">
        <f>+IF(C5="inside",0,ROUNDUP(C3/4+1,0))</f>
        <v>0</v>
      </c>
      <c r="D55">
        <f>+C55*B55</f>
        <v>0</v>
      </c>
    </row>
    <row r="56" spans="1:4" x14ac:dyDescent="0.2">
      <c r="A56" t="s">
        <v>51</v>
      </c>
      <c r="B56">
        <v>15.95</v>
      </c>
      <c r="C56">
        <f>+IF(C5="inside",0,ROUNDUP(C2/24*4*C2*1.2/32,0))</f>
        <v>0</v>
      </c>
      <c r="D56">
        <f>+C56*B56</f>
        <v>0</v>
      </c>
    </row>
    <row r="57" spans="1:4" x14ac:dyDescent="0.2">
      <c r="A57" t="s">
        <v>52</v>
      </c>
      <c r="B57">
        <v>11.49</v>
      </c>
      <c r="C57">
        <f>+IF(C5="inside",0,2)</f>
        <v>0</v>
      </c>
      <c r="D57">
        <f>+C57*B57</f>
        <v>0</v>
      </c>
    </row>
    <row r="58" spans="1:4" x14ac:dyDescent="0.2">
      <c r="A58" t="str">
        <f>+"2x4 x "&amp;TEXT(C2,"###")&amp;"ft - Roof purlins"</f>
        <v>2x4 x 12ft - Roof purlins</v>
      </c>
      <c r="B58">
        <v>5.49</v>
      </c>
      <c r="C58">
        <f>+IF(C5="inside",0,(ROUNDUP(SQRT((C2/24*4)^2+(C2/2)^2)/2,0)+1)*2)</f>
        <v>0</v>
      </c>
      <c r="D58">
        <f>+C58*B58</f>
        <v>0</v>
      </c>
    </row>
    <row r="59" spans="1:4" x14ac:dyDescent="0.2">
      <c r="A59" t="str">
        <f>+"Steel Roofing (coverage 36 inches) x " &amp;EVEN(SQRT((C2/24*4)^2+(C2/2)^2)) &amp;" feet"</f>
        <v>Steel Roofing (coverage 36 inches) x 8 feet</v>
      </c>
      <c r="B59">
        <v>15.59</v>
      </c>
      <c r="C59">
        <f>++IF(C5="inside",0,ROUNDUP(C3/3,0)*2)</f>
        <v>0</v>
      </c>
      <c r="D59">
        <f t="shared" si="0"/>
        <v>0</v>
      </c>
    </row>
    <row r="60" spans="1:4" x14ac:dyDescent="0.2">
      <c r="A60" t="s">
        <v>53</v>
      </c>
      <c r="B60">
        <v>4.93</v>
      </c>
      <c r="C60">
        <f>+IF(C5="inside",0,ROUNDUP(C3/10,0))</f>
        <v>0</v>
      </c>
      <c r="D60">
        <f t="shared" si="0"/>
        <v>0</v>
      </c>
    </row>
    <row r="61" spans="1:4" x14ac:dyDescent="0.2">
      <c r="A61" t="s">
        <v>55</v>
      </c>
      <c r="B61">
        <v>19.489999999999998</v>
      </c>
      <c r="C61">
        <f>+IF(C5="inside",0,ROUNDUP((C2+C3)*2/3,0))</f>
        <v>0</v>
      </c>
      <c r="D61">
        <f t="shared" si="0"/>
        <v>0</v>
      </c>
    </row>
    <row r="62" spans="1:4" x14ac:dyDescent="0.2">
      <c r="A62" t="s">
        <v>57</v>
      </c>
      <c r="B62">
        <v>8.7899999999999991</v>
      </c>
      <c r="C62">
        <f>+IF(C5="inside",0,ROUNDUP((C2+C3)*2/12,0))</f>
        <v>0</v>
      </c>
      <c r="D62">
        <f t="shared" si="0"/>
        <v>0</v>
      </c>
    </row>
    <row r="63" spans="1:4" x14ac:dyDescent="0.2">
      <c r="A63" t="s">
        <v>58</v>
      </c>
      <c r="B63">
        <v>10.59</v>
      </c>
      <c r="C63">
        <f>+IF(C5="inside",0,3)</f>
        <v>0</v>
      </c>
      <c r="D63">
        <f t="shared" si="0"/>
        <v>0</v>
      </c>
    </row>
    <row r="64" spans="1:4" x14ac:dyDescent="0.2">
      <c r="A64" t="s">
        <v>56</v>
      </c>
      <c r="B64">
        <v>5.59</v>
      </c>
      <c r="C64">
        <f>+IF(C5="inside",0,ROUNDUP((C2+C3)*2/10+8+3,0))</f>
        <v>0</v>
      </c>
      <c r="D64">
        <f t="shared" si="0"/>
        <v>0</v>
      </c>
    </row>
    <row r="65" spans="1:13" x14ac:dyDescent="0.2">
      <c r="A65" t="s">
        <v>54</v>
      </c>
      <c r="B65">
        <v>6.89</v>
      </c>
      <c r="C65">
        <f>+IF(C5="inside",0,ROUNDUP((C58*C3+C64*10/1.5+C63*8/1.5+C61*5*3)/100,0))</f>
        <v>0</v>
      </c>
      <c r="D65">
        <f t="shared" si="0"/>
        <v>0</v>
      </c>
    </row>
    <row r="66" spans="1:13" x14ac:dyDescent="0.2">
      <c r="D66">
        <f>SUM(D8:D65)</f>
        <v>2834.6099999999992</v>
      </c>
    </row>
    <row r="67" spans="1:13" x14ac:dyDescent="0.2">
      <c r="G67" t="s">
        <v>46</v>
      </c>
      <c r="J67" t="s">
        <v>72</v>
      </c>
      <c r="L67" t="s">
        <v>84</v>
      </c>
      <c r="M67" t="s">
        <v>85</v>
      </c>
    </row>
    <row r="68" spans="1:13" x14ac:dyDescent="0.2">
      <c r="A68" t="s">
        <v>64</v>
      </c>
      <c r="G68" t="s">
        <v>66</v>
      </c>
      <c r="H68">
        <f>6*8*8</f>
        <v>384</v>
      </c>
      <c r="I68">
        <v>10000</v>
      </c>
      <c r="J68">
        <f>+I68/H68</f>
        <v>26.041666666666668</v>
      </c>
      <c r="L68">
        <v>10000</v>
      </c>
      <c r="M68">
        <v>269</v>
      </c>
    </row>
    <row r="69" spans="1:13" x14ac:dyDescent="0.2">
      <c r="A69" t="s">
        <v>76</v>
      </c>
      <c r="B69" s="4">
        <f xml:space="preserve"> ROUNDUP(45.393*C4^0.7112,-2)</f>
        <v>6900</v>
      </c>
      <c r="C69" t="s">
        <v>75</v>
      </c>
      <c r="D69" s="8">
        <f>0.1072*B69 + 2074.5</f>
        <v>2814.1800000000003</v>
      </c>
      <c r="E69" t="s">
        <v>82</v>
      </c>
      <c r="G69" t="s">
        <v>67</v>
      </c>
      <c r="H69">
        <f>8*8*8</f>
        <v>512</v>
      </c>
      <c r="I69">
        <v>12000</v>
      </c>
      <c r="J69">
        <f t="shared" ref="J69:J73" si="1">+I69/H69</f>
        <v>23.4375</v>
      </c>
      <c r="L69">
        <v>12000</v>
      </c>
      <c r="M69">
        <v>319</v>
      </c>
    </row>
    <row r="70" spans="1:13" ht="25.5" x14ac:dyDescent="0.2">
      <c r="A70" s="7" t="s">
        <v>77</v>
      </c>
      <c r="G70" t="s">
        <v>68</v>
      </c>
      <c r="H70">
        <f>8*8*10</f>
        <v>640</v>
      </c>
      <c r="I70">
        <v>15000</v>
      </c>
      <c r="J70">
        <f t="shared" si="1"/>
        <v>23.4375</v>
      </c>
      <c r="L70">
        <v>14000</v>
      </c>
      <c r="M70">
        <v>399</v>
      </c>
    </row>
    <row r="71" spans="1:13" x14ac:dyDescent="0.2">
      <c r="A71" t="s">
        <v>65</v>
      </c>
      <c r="B71">
        <v>300</v>
      </c>
      <c r="C71">
        <v>1</v>
      </c>
      <c r="G71" t="s">
        <v>69</v>
      </c>
      <c r="H71">
        <f>8*8*12</f>
        <v>768</v>
      </c>
      <c r="I71">
        <v>18000</v>
      </c>
      <c r="J71">
        <f t="shared" si="1"/>
        <v>23.4375</v>
      </c>
      <c r="L71">
        <v>18000</v>
      </c>
      <c r="M71">
        <v>499</v>
      </c>
    </row>
    <row r="72" spans="1:13" x14ac:dyDescent="0.2">
      <c r="A72" t="s">
        <v>78</v>
      </c>
      <c r="C72">
        <f>+ROUNDUP(C2*C3*8*23,-3)</f>
        <v>27000</v>
      </c>
      <c r="G72" t="s">
        <v>70</v>
      </c>
      <c r="H72">
        <f>8*10*12</f>
        <v>960</v>
      </c>
      <c r="I72">
        <v>21000</v>
      </c>
      <c r="J72">
        <f t="shared" si="1"/>
        <v>21.875</v>
      </c>
      <c r="L72">
        <v>24000</v>
      </c>
      <c r="M72">
        <v>599</v>
      </c>
    </row>
    <row r="73" spans="1:13" x14ac:dyDescent="0.2">
      <c r="A73" t="s">
        <v>79</v>
      </c>
      <c r="G73" t="s">
        <v>71</v>
      </c>
      <c r="H73">
        <f>8*10*14</f>
        <v>1120</v>
      </c>
      <c r="I73">
        <v>24000</v>
      </c>
      <c r="J73">
        <f t="shared" si="1"/>
        <v>21.428571428571427</v>
      </c>
    </row>
    <row r="75" spans="1:13" x14ac:dyDescent="0.2">
      <c r="B75" t="s">
        <v>28</v>
      </c>
    </row>
    <row r="93" spans="7:13" x14ac:dyDescent="0.2">
      <c r="L93" t="s">
        <v>81</v>
      </c>
      <c r="M93" t="s">
        <v>80</v>
      </c>
    </row>
    <row r="94" spans="7:13" x14ac:dyDescent="0.2">
      <c r="G94">
        <f>6*6*9</f>
        <v>324</v>
      </c>
      <c r="H94">
        <v>2800</v>
      </c>
      <c r="I94" s="2">
        <f>3.8208*G94+2162.7</f>
        <v>3400.6391999999996</v>
      </c>
      <c r="J94" s="6">
        <f>45.393*G94^0.7112</f>
        <v>2770.0556703232401</v>
      </c>
      <c r="L94">
        <v>6860</v>
      </c>
      <c r="M94">
        <v>2845</v>
      </c>
    </row>
    <row r="95" spans="7:13" x14ac:dyDescent="0.2">
      <c r="G95">
        <f>8*8*9</f>
        <v>576</v>
      </c>
      <c r="H95">
        <v>4100</v>
      </c>
      <c r="I95" s="2">
        <f t="shared" ref="I95:I103" si="2">3.8208*G95+2162.7</f>
        <v>4363.4807999999994</v>
      </c>
      <c r="J95" s="6">
        <f t="shared" ref="J95:J103" si="3">45.393*G95^0.7112</f>
        <v>4170.6270551451671</v>
      </c>
      <c r="L95">
        <v>8928</v>
      </c>
      <c r="M95">
        <v>2998</v>
      </c>
    </row>
    <row r="96" spans="7:13" x14ac:dyDescent="0.2">
      <c r="G96">
        <f>6*12*9</f>
        <v>648</v>
      </c>
      <c r="H96">
        <v>4500</v>
      </c>
      <c r="I96" s="2">
        <f t="shared" si="2"/>
        <v>4638.5784000000003</v>
      </c>
      <c r="J96" s="6">
        <f t="shared" si="3"/>
        <v>4535.0390412304405</v>
      </c>
      <c r="L96">
        <v>12859</v>
      </c>
      <c r="M96">
        <v>3408</v>
      </c>
    </row>
    <row r="97" spans="7:13" x14ac:dyDescent="0.2">
      <c r="G97">
        <f>8*12*9</f>
        <v>864</v>
      </c>
      <c r="H97">
        <v>5500</v>
      </c>
      <c r="I97" s="2">
        <f t="shared" si="2"/>
        <v>5463.8711999999996</v>
      </c>
      <c r="J97" s="6">
        <f t="shared" si="3"/>
        <v>5564.6449509780814</v>
      </c>
      <c r="L97">
        <v>14545</v>
      </c>
      <c r="M97">
        <v>3679</v>
      </c>
    </row>
    <row r="98" spans="7:13" x14ac:dyDescent="0.2">
      <c r="G98">
        <f>10*10*9</f>
        <v>900</v>
      </c>
      <c r="H98">
        <v>5600</v>
      </c>
      <c r="I98" s="2">
        <f t="shared" si="2"/>
        <v>5601.42</v>
      </c>
      <c r="J98" s="6">
        <f t="shared" si="3"/>
        <v>5728.5691347055017</v>
      </c>
    </row>
    <row r="99" spans="7:13" x14ac:dyDescent="0.2">
      <c r="G99">
        <f>8*16*9</f>
        <v>1152</v>
      </c>
      <c r="H99">
        <v>7100</v>
      </c>
      <c r="I99" s="2">
        <f t="shared" si="2"/>
        <v>6564.2615999999998</v>
      </c>
      <c r="J99" s="6">
        <f t="shared" si="3"/>
        <v>6828.0059220933235</v>
      </c>
    </row>
    <row r="100" spans="7:13" x14ac:dyDescent="0.2">
      <c r="G100">
        <v>1296</v>
      </c>
      <c r="H100">
        <v>7700</v>
      </c>
      <c r="I100" s="2">
        <f t="shared" si="2"/>
        <v>7114.4567999999999</v>
      </c>
      <c r="J100" s="6">
        <f t="shared" si="3"/>
        <v>7424.6085830774591</v>
      </c>
    </row>
    <row r="101" spans="7:13" x14ac:dyDescent="0.2">
      <c r="G101">
        <v>1350</v>
      </c>
      <c r="H101">
        <v>7900</v>
      </c>
      <c r="I101" s="2">
        <f t="shared" si="2"/>
        <v>7320.78</v>
      </c>
      <c r="J101" s="6">
        <f t="shared" si="3"/>
        <v>7643.3238671968275</v>
      </c>
    </row>
    <row r="102" spans="7:13" x14ac:dyDescent="0.2">
      <c r="G102">
        <v>2160</v>
      </c>
      <c r="H102">
        <v>9800</v>
      </c>
      <c r="I102" s="2">
        <f t="shared" si="2"/>
        <v>10415.628000000001</v>
      </c>
      <c r="J102" s="6">
        <f t="shared" si="3"/>
        <v>10677.077468766242</v>
      </c>
    </row>
    <row r="103" spans="7:13" x14ac:dyDescent="0.2">
      <c r="G103">
        <v>3600</v>
      </c>
      <c r="H103">
        <v>15800</v>
      </c>
      <c r="I103" s="2">
        <f t="shared" si="2"/>
        <v>15917.580000000002</v>
      </c>
      <c r="J103" s="6">
        <f t="shared" si="3"/>
        <v>15354.342521687986</v>
      </c>
    </row>
  </sheetData>
  <sortState ref="G93:H102">
    <sortCondition ref="G93:G102"/>
  </sortState>
  <dataValidations disablePrompts="1" count="1">
    <dataValidation type="list" allowBlank="1" showInputMessage="1" showErrorMessage="1" sqref="C5">
      <formula1>"Inside, Outside"</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16"OC walls</vt:lpstr>
      <vt:lpstr>24"OC walls</vt:lpstr>
      <vt:lpstr>48"OC walls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Sanford</dc:creator>
  <cp:lastModifiedBy>Scott Sanford</cp:lastModifiedBy>
  <dcterms:created xsi:type="dcterms:W3CDTF">2013-12-04T22:13:06Z</dcterms:created>
  <dcterms:modified xsi:type="dcterms:W3CDTF">2017-05-11T20:46:10Z</dcterms:modified>
</cp:coreProperties>
</file>