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5" windowHeight="8700" activeTab="0"/>
  </bookViews>
  <sheets>
    <sheet name="Budget" sheetId="1" r:id="rId1"/>
    <sheet name="Analyses" sheetId="2" r:id="rId2"/>
    <sheet name="Machinery Expenses" sheetId="3" r:id="rId3"/>
  </sheets>
  <definedNames>
    <definedName name="_xlnm.Print_Area" localSheetId="0">'Budget'!$A$1:$K$133</definedName>
  </definedNames>
  <calcPr fullCalcOnLoad="1"/>
</workbook>
</file>

<file path=xl/sharedStrings.xml><?xml version="1.0" encoding="utf-8"?>
<sst xmlns="http://schemas.openxmlformats.org/spreadsheetml/2006/main" count="258" uniqueCount="136">
  <si>
    <t>lb</t>
  </si>
  <si>
    <t>acre</t>
  </si>
  <si>
    <t>Unit</t>
  </si>
  <si>
    <t>Quantity</t>
  </si>
  <si>
    <t>Price</t>
  </si>
  <si>
    <t>Amount</t>
  </si>
  <si>
    <t>($/acre)</t>
  </si>
  <si>
    <t>Machinery</t>
  </si>
  <si>
    <t>Interest on Operating Capital - 6 months</t>
  </si>
  <si>
    <t>Fixed Expenses</t>
  </si>
  <si>
    <t>Variable Expenses</t>
  </si>
  <si>
    <t>Labor Expenses</t>
  </si>
  <si>
    <t>hour</t>
  </si>
  <si>
    <t>Fertilizer spreader rental</t>
  </si>
  <si>
    <t xml:space="preserve">   Fuel</t>
  </si>
  <si>
    <t xml:space="preserve">   Repairs and Maintenance</t>
  </si>
  <si>
    <t xml:space="preserve">   Depreciation</t>
  </si>
  <si>
    <t xml:space="preserve">   Interest</t>
  </si>
  <si>
    <t>Sub-Total</t>
  </si>
  <si>
    <t>acre/year</t>
  </si>
  <si>
    <t>Total Costs</t>
  </si>
  <si>
    <t>ton dry matter/acre</t>
  </si>
  <si>
    <t>Total</t>
  </si>
  <si>
    <t>Red clover (prorated over 6-year stand life)</t>
  </si>
  <si>
    <t>Establishment Cost</t>
  </si>
  <si>
    <t>(prorated over 6-year stand life)</t>
  </si>
  <si>
    <t>Fence maintenance</t>
  </si>
  <si>
    <t>Part-time Labor</t>
  </si>
  <si>
    <t xml:space="preserve">   Part-time Labor Benefits</t>
  </si>
  <si>
    <t xml:space="preserve">   Engine Lubrication</t>
  </si>
  <si>
    <r>
      <t>Interseeding - once during 6-year stand life</t>
    </r>
    <r>
      <rPr>
        <vertAlign val="superscript"/>
        <sz val="10"/>
        <rFont val="Arial"/>
        <family val="2"/>
      </rPr>
      <t>3</t>
    </r>
  </si>
  <si>
    <r>
      <t>Legume-grass Pasture</t>
    </r>
    <r>
      <rPr>
        <vertAlign val="superscript"/>
        <sz val="10"/>
        <rFont val="Arial"/>
        <family val="2"/>
      </rPr>
      <t>2</t>
    </r>
  </si>
  <si>
    <r>
      <t>2</t>
    </r>
    <r>
      <rPr>
        <sz val="10"/>
        <rFont val="Arial"/>
        <family val="0"/>
      </rPr>
      <t xml:space="preserve"> Budget includes the costs of 1/3 of the total pastures having one cutting of hay per year and 1/3 of the total</t>
    </r>
  </si>
  <si>
    <r>
      <t>Fertilizer</t>
    </r>
    <r>
      <rPr>
        <vertAlign val="superscript"/>
        <sz val="10"/>
        <rFont val="Arial"/>
        <family val="2"/>
      </rPr>
      <t>4</t>
    </r>
  </si>
  <si>
    <r>
      <t>1</t>
    </r>
    <r>
      <rPr>
        <sz val="10"/>
        <rFont val="Arial"/>
        <family val="0"/>
      </rPr>
      <t xml:space="preserve"> A six-year stand life for the pasture is used for this budget.</t>
    </r>
  </si>
  <si>
    <t>Cattle lane maintenance</t>
  </si>
  <si>
    <t>Watering system maintenance</t>
  </si>
  <si>
    <r>
      <t>4</t>
    </r>
    <r>
      <rPr>
        <sz val="10"/>
        <rFont val="Arial"/>
        <family val="0"/>
      </rPr>
      <t xml:space="preserve"> Fertilizer is applied at 20% of the UWEX recommended rates.  0+45+180 is recommended for 3.1-4.0 tdm/acre. </t>
    </r>
  </si>
  <si>
    <t xml:space="preserve"> </t>
  </si>
  <si>
    <r>
      <t>Labor - harvesting and clipping</t>
    </r>
    <r>
      <rPr>
        <vertAlign val="superscript"/>
        <sz val="10"/>
        <rFont val="Arial"/>
        <family val="2"/>
      </rPr>
      <t>7</t>
    </r>
  </si>
  <si>
    <r>
      <t>Labor - moving animals and fencing</t>
    </r>
    <r>
      <rPr>
        <vertAlign val="superscript"/>
        <sz val="10"/>
        <rFont val="Arial"/>
        <family val="2"/>
      </rPr>
      <t>8</t>
    </r>
  </si>
  <si>
    <t>Enter your farm values in the yellow boxes.</t>
  </si>
  <si>
    <t>Power Unit</t>
  </si>
  <si>
    <t>Main Implement</t>
  </si>
  <si>
    <t>Depreciation</t>
  </si>
  <si>
    <t>Interest</t>
  </si>
  <si>
    <t>Labor</t>
  </si>
  <si>
    <t>Energy</t>
  </si>
  <si>
    <t>Repair</t>
  </si>
  <si>
    <t xml:space="preserve">Times </t>
  </si>
  <si>
    <t>Cost</t>
  </si>
  <si>
    <t>Over</t>
  </si>
  <si>
    <t>Per Acre</t>
  </si>
  <si>
    <t>Tractor 075 HP</t>
  </si>
  <si>
    <t>Tractor 060 HP</t>
  </si>
  <si>
    <t>Tractor 040 HP</t>
  </si>
  <si>
    <t>Rotary Mower 6 Ft</t>
  </si>
  <si>
    <t>Tractor 100 HP</t>
  </si>
  <si>
    <t>Rake - Hydraulic 9 Ft</t>
  </si>
  <si>
    <t>Engine Lubrication</t>
  </si>
  <si>
    <t>Totals</t>
  </si>
  <si>
    <t>University of Wisconsin Center for Dairy Profitability</t>
  </si>
  <si>
    <t>Example Farm</t>
  </si>
  <si>
    <t>Your Farm</t>
  </si>
  <si>
    <t>Phosphorus 0-46-0</t>
  </si>
  <si>
    <t>lbs of product</t>
  </si>
  <si>
    <t>Potassium 0-0-60</t>
  </si>
  <si>
    <t>Urea 46-0-0</t>
  </si>
  <si>
    <t>Fertilizer</t>
  </si>
  <si>
    <t>Products</t>
  </si>
  <si>
    <t>Legume-grass Pasture</t>
  </si>
  <si>
    <t xml:space="preserve">  Fifty units of urea applied in early May and again in early August.</t>
  </si>
  <si>
    <t xml:space="preserve">  In place of these values, one can use from the the cumulative value per acre from the </t>
  </si>
  <si>
    <t xml:space="preserve">  and depreciation expenses are for many of the field operations needed to harvest and manage the pasture.</t>
  </si>
  <si>
    <t>Estimated annual production costs for a legume-grass pasture</t>
  </si>
  <si>
    <t>Annual machinery expenses for a legume-grass pasture</t>
  </si>
  <si>
    <r>
      <t>Custom Rate Charges</t>
    </r>
    <r>
      <rPr>
        <vertAlign val="superscript"/>
        <sz val="10"/>
        <rFont val="Arial"/>
        <family val="2"/>
      </rPr>
      <t>5</t>
    </r>
  </si>
  <si>
    <r>
      <t>5</t>
    </r>
    <r>
      <rPr>
        <sz val="10"/>
        <rFont val="Arial"/>
        <family val="2"/>
      </rPr>
      <t xml:space="preserve"> Many farmers will not know what the energy, repairs and maintenance, interest and insurance, </t>
    </r>
  </si>
  <si>
    <r>
      <t xml:space="preserve">6 </t>
    </r>
    <r>
      <rPr>
        <sz val="10"/>
        <rFont val="Arial"/>
        <family val="2"/>
      </rPr>
      <t>Costs for fencing, watering system, and cattle lane based on 80 acres of pasture.</t>
    </r>
  </si>
  <si>
    <r>
      <t>7</t>
    </r>
    <r>
      <rPr>
        <sz val="10"/>
        <rFont val="Arial"/>
        <family val="0"/>
      </rPr>
      <t xml:space="preserve"> Labor for making hay and clipping pastures.</t>
    </r>
  </si>
  <si>
    <r>
      <t>8</t>
    </r>
    <r>
      <rPr>
        <sz val="10"/>
        <rFont val="Arial"/>
        <family val="0"/>
      </rPr>
      <t xml:space="preserve"> Labor for moving livestock and fencing.  One hour per day for 168 days is allocated for this labor.</t>
    </r>
  </si>
  <si>
    <t>Property taxes or land ownership costs</t>
  </si>
  <si>
    <t>Baler, Round 1000 lb</t>
  </si>
  <si>
    <t>Ladino clover (prorated over 6-year stand life)</t>
  </si>
  <si>
    <r>
      <t>3</t>
    </r>
    <r>
      <rPr>
        <sz val="10"/>
        <rFont val="Arial"/>
        <family val="0"/>
      </rPr>
      <t xml:space="preserve"> Red clover and Ladino clover are interseeded once in the six-year stand life at a rate of 10 and 2 pounds</t>
    </r>
  </si>
  <si>
    <t>Nitrogen fertilizer</t>
  </si>
  <si>
    <t>Interior Fencing (Cost depreciated over 7 years)</t>
  </si>
  <si>
    <t>Watering System (Cost depreciated over 15 years)</t>
  </si>
  <si>
    <t>Cattle Lane (Cost depreciated over 15 years)</t>
  </si>
  <si>
    <r>
      <t>Exterior Fencing (Cost depreciated over 7 years)</t>
    </r>
    <r>
      <rPr>
        <vertAlign val="superscript"/>
        <sz val="10"/>
        <rFont val="Arial"/>
        <family val="2"/>
      </rPr>
      <t>6</t>
    </r>
  </si>
  <si>
    <t xml:space="preserve">This pasture budget is based on 80 acres.  Machinery cost factors are based on new equipment prices.  Your costs factors will </t>
  </si>
  <si>
    <t>probably vary.  It is critical that producers calculate their own overhead costs based on their equipment costs.</t>
  </si>
  <si>
    <t>No-till drill rental (prorated over 6-year stand life)</t>
  </si>
  <si>
    <t xml:space="preserve">     (Value of Production less Total Costs as Price and Yield Vary)</t>
  </si>
  <si>
    <t>+10%</t>
  </si>
  <si>
    <t>+20%</t>
  </si>
  <si>
    <t xml:space="preserve">     Yield</t>
  </si>
  <si>
    <t xml:space="preserve">                (Break-Even Yields as Price and Total Costs Vary)</t>
  </si>
  <si>
    <t xml:space="preserve">  Sensitvity Analysis</t>
  </si>
  <si>
    <t xml:space="preserve">      Risk Analyses</t>
  </si>
  <si>
    <t>Interseeding - prorate over the life of the stand</t>
  </si>
  <si>
    <t>(prorate over the life of the stand)</t>
  </si>
  <si>
    <t>Labor - harvesting and clipping</t>
  </si>
  <si>
    <t>Labor - moving animals and fencing</t>
  </si>
  <si>
    <t>per Acre</t>
  </si>
  <si>
    <t>($/unit)</t>
  </si>
  <si>
    <t>Exterior Fencing (Depreciate over pasture life)</t>
  </si>
  <si>
    <t>Interior Fencing (Depreciate over pasture life)</t>
  </si>
  <si>
    <t>Watering System (Depreciate over 15 years)</t>
  </si>
  <si>
    <t>Cattle Lane (Depreciate over 15 years)</t>
  </si>
  <si>
    <t xml:space="preserve">  per acre, respectively.  Costs for seed and the rental of the no-till drill are prorated over the stand life.</t>
  </si>
  <si>
    <t>Land ownership costs</t>
  </si>
  <si>
    <t>Phosphorus 18-46-0</t>
  </si>
  <si>
    <t>Total Operating Costs per Acre</t>
  </si>
  <si>
    <t>Fence maintenance (4% of annual cost)</t>
  </si>
  <si>
    <t>Watering system maintenance (4% of annual cost)</t>
  </si>
  <si>
    <t>Cattle lane maintenance (4% of annual cost)</t>
  </si>
  <si>
    <t>Total Operating Costs per Ton</t>
  </si>
  <si>
    <t>Total Fixed Expenses per Acre</t>
  </si>
  <si>
    <t>Total Costs per Acre</t>
  </si>
  <si>
    <t>Return to Land and Operator per Acre</t>
  </si>
  <si>
    <t>Return to Operator per Acre</t>
  </si>
  <si>
    <t>Total Cost per Ton</t>
  </si>
  <si>
    <t>$ per ton</t>
  </si>
  <si>
    <t xml:space="preserve">              (Break-Even Yields as Price and Total Costs Vary)</t>
  </si>
  <si>
    <t xml:space="preserve">   (Value of Production less Total Costs as Price and Yield Vary)</t>
  </si>
  <si>
    <t>year</t>
  </si>
  <si>
    <t>Silage Baler Wrapper</t>
  </si>
  <si>
    <t>Rotary Mower Conditioner 13 Ft</t>
  </si>
  <si>
    <r>
      <t>Products</t>
    </r>
    <r>
      <rPr>
        <b/>
        <i/>
        <vertAlign val="superscript"/>
        <sz val="10"/>
        <rFont val="Arial"/>
        <family val="2"/>
      </rPr>
      <t>1</t>
    </r>
  </si>
  <si>
    <t>Established Pasture Budget with Wrapped Round Bales for Wisconsin for 2013</t>
  </si>
  <si>
    <t xml:space="preserve">  Wisconsin's 2010 Custom Rate Guide.  </t>
  </si>
  <si>
    <t>This budget was developed with the Cost Accounting and Planning (CAP) software , version 2011.9.</t>
  </si>
  <si>
    <t>Developed by Ken Barnett, March 2013</t>
  </si>
  <si>
    <t xml:space="preserve">  pastures being clipped per year.  The 2012-2013 hay mean for large round bales (&gt;151 RFV) for alfalfa </t>
  </si>
  <si>
    <t xml:space="preserve">  is $276.24 per ton of dry matter.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</si>
</sst>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%"/>
    <numFmt numFmtId="171" formatCode="###0;###0"/>
    <numFmt numFmtId="172" formatCode="###0.00;###0.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Arial"/>
      <family val="2"/>
    </font>
    <font>
      <b/>
      <i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ck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0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65" fontId="0" fillId="0" borderId="0" xfId="0" applyNumberFormat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/>
    </xf>
    <xf numFmtId="2" fontId="0" fillId="0" borderId="12" xfId="0" applyNumberForma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5" fillId="33" borderId="0" xfId="0" applyFont="1" applyFill="1" applyAlignment="1">
      <alignment/>
    </xf>
    <xf numFmtId="2" fontId="0" fillId="0" borderId="0" xfId="0" applyNumberFormat="1" applyAlignment="1">
      <alignment horizontal="center" vertical="center"/>
    </xf>
    <xf numFmtId="0" fontId="5" fillId="34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34" borderId="0" xfId="0" applyFill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 applyProtection="1" quotePrefix="1">
      <alignment horizontal="center"/>
      <protection/>
    </xf>
    <xf numFmtId="0" fontId="3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right"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Border="1" applyAlignment="1" applyProtection="1" quotePrefix="1">
      <alignment horizontal="center"/>
      <protection/>
    </xf>
    <xf numFmtId="10" fontId="0" fillId="0" borderId="0" xfId="0" applyNumberFormat="1" applyBorder="1" applyAlignment="1">
      <alignment horizontal="center"/>
    </xf>
    <xf numFmtId="0" fontId="0" fillId="0" borderId="10" xfId="0" applyFont="1" applyBorder="1" applyAlignment="1">
      <alignment horizontal="left"/>
    </xf>
    <xf numFmtId="165" fontId="0" fillId="0" borderId="0" xfId="0" applyNumberFormat="1" applyBorder="1" applyAlignment="1">
      <alignment horizontal="center"/>
    </xf>
    <xf numFmtId="0" fontId="1" fillId="0" borderId="10" xfId="0" applyFont="1" applyBorder="1" applyAlignment="1">
      <alignment horizontal="left"/>
    </xf>
    <xf numFmtId="2" fontId="1" fillId="0" borderId="0" xfId="0" applyNumberFormat="1" applyFont="1" applyBorder="1" applyAlignment="1">
      <alignment horizontal="center"/>
    </xf>
    <xf numFmtId="2" fontId="0" fillId="34" borderId="13" xfId="0" applyNumberFormat="1" applyFill="1" applyBorder="1" applyAlignment="1" applyProtection="1">
      <alignment horizontal="center"/>
      <protection/>
    </xf>
    <xf numFmtId="2" fontId="0" fillId="34" borderId="13" xfId="0" applyNumberForma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/>
    </xf>
    <xf numFmtId="2" fontId="1" fillId="0" borderId="14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/>
    </xf>
    <xf numFmtId="10" fontId="0" fillId="34" borderId="13" xfId="0" applyNumberForma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7" fillId="0" borderId="0" xfId="53" applyAlignment="1" applyProtection="1">
      <alignment/>
      <protection/>
    </xf>
    <xf numFmtId="0" fontId="9" fillId="0" borderId="0" xfId="0" applyFont="1" applyAlignment="1">
      <alignment/>
    </xf>
    <xf numFmtId="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9" fontId="0" fillId="0" borderId="0" xfId="0" applyNumberFormat="1" applyAlignment="1">
      <alignment horizontal="right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9" fontId="1" fillId="0" borderId="0" xfId="0" applyNumberFormat="1" applyFont="1" applyAlignment="1">
      <alignment horizontal="right"/>
    </xf>
    <xf numFmtId="2" fontId="0" fillId="0" borderId="20" xfId="0" applyNumberFormat="1" applyBorder="1" applyAlignment="1">
      <alignment/>
    </xf>
    <xf numFmtId="8" fontId="0" fillId="0" borderId="21" xfId="0" applyNumberFormat="1" applyBorder="1" applyAlignment="1">
      <alignment horizontal="center"/>
    </xf>
    <xf numFmtId="8" fontId="0" fillId="0" borderId="22" xfId="0" applyNumberFormat="1" applyBorder="1" applyAlignment="1">
      <alignment horizontal="center"/>
    </xf>
    <xf numFmtId="8" fontId="0" fillId="0" borderId="23" xfId="0" applyNumberFormat="1" applyBorder="1" applyAlignment="1">
      <alignment horizontal="center"/>
    </xf>
    <xf numFmtId="8" fontId="0" fillId="0" borderId="24" xfId="0" applyNumberFormat="1" applyBorder="1" applyAlignment="1">
      <alignment horizontal="center"/>
    </xf>
    <xf numFmtId="2" fontId="0" fillId="0" borderId="25" xfId="0" applyNumberFormat="1" applyBorder="1" applyAlignment="1">
      <alignment/>
    </xf>
    <xf numFmtId="8" fontId="0" fillId="0" borderId="26" xfId="0" applyNumberFormat="1" applyBorder="1" applyAlignment="1">
      <alignment horizontal="center"/>
    </xf>
    <xf numFmtId="8" fontId="0" fillId="0" borderId="27" xfId="0" applyNumberFormat="1" applyBorder="1" applyAlignment="1">
      <alignment horizontal="center"/>
    </xf>
    <xf numFmtId="49" fontId="1" fillId="0" borderId="0" xfId="0" applyNumberFormat="1" applyFont="1" applyAlignment="1">
      <alignment horizontal="right"/>
    </xf>
    <xf numFmtId="2" fontId="0" fillId="0" borderId="28" xfId="0" applyNumberFormat="1" applyBorder="1" applyAlignment="1">
      <alignment/>
    </xf>
    <xf numFmtId="8" fontId="0" fillId="0" borderId="29" xfId="0" applyNumberFormat="1" applyBorder="1" applyAlignment="1">
      <alignment horizontal="center"/>
    </xf>
    <xf numFmtId="8" fontId="0" fillId="0" borderId="30" xfId="0" applyNumberFormat="1" applyBorder="1" applyAlignment="1">
      <alignment horizontal="center"/>
    </xf>
    <xf numFmtId="8" fontId="0" fillId="0" borderId="31" xfId="0" applyNumberFormat="1" applyBorder="1" applyAlignment="1">
      <alignment horizontal="center"/>
    </xf>
    <xf numFmtId="164" fontId="0" fillId="0" borderId="32" xfId="0" applyNumberFormat="1" applyBorder="1" applyAlignment="1">
      <alignment horizontal="center"/>
    </xf>
    <xf numFmtId="164" fontId="0" fillId="0" borderId="33" xfId="0" applyNumberFormat="1" applyBorder="1" applyAlignment="1">
      <alignment horizontal="center"/>
    </xf>
    <xf numFmtId="164" fontId="0" fillId="0" borderId="34" xfId="0" applyNumberFormat="1" applyBorder="1" applyAlignment="1">
      <alignment horizontal="center"/>
    </xf>
    <xf numFmtId="164" fontId="0" fillId="0" borderId="20" xfId="0" applyNumberFormat="1" applyBorder="1" applyAlignment="1">
      <alignment/>
    </xf>
    <xf numFmtId="2" fontId="0" fillId="0" borderId="35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164" fontId="0" fillId="0" borderId="25" xfId="0" applyNumberFormat="1" applyBorder="1" applyAlignment="1">
      <alignment/>
    </xf>
    <xf numFmtId="2" fontId="0" fillId="0" borderId="36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164" fontId="0" fillId="0" borderId="28" xfId="0" applyNumberFormat="1" applyBorder="1" applyAlignment="1">
      <alignment/>
    </xf>
    <xf numFmtId="2" fontId="0" fillId="0" borderId="37" xfId="0" applyNumberForma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2" fontId="0" fillId="34" borderId="38" xfId="0" applyNumberFormat="1" applyFill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 hidden="1"/>
    </xf>
    <xf numFmtId="2" fontId="0" fillId="0" borderId="0" xfId="0" applyNumberForma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/>
    </xf>
    <xf numFmtId="10" fontId="0" fillId="0" borderId="0" xfId="0" applyNumberFormat="1" applyAlignment="1" applyProtection="1">
      <alignment horizontal="center"/>
      <protection/>
    </xf>
    <xf numFmtId="2" fontId="0" fillId="0" borderId="16" xfId="0" applyNumberFormat="1" applyBorder="1" applyAlignment="1">
      <alignment horizontal="center"/>
    </xf>
    <xf numFmtId="0" fontId="0" fillId="0" borderId="0" xfId="0" applyAlignment="1" applyProtection="1">
      <alignment horizontal="right"/>
      <protection/>
    </xf>
    <xf numFmtId="2" fontId="0" fillId="0" borderId="0" xfId="0" applyNumberFormat="1" applyBorder="1" applyAlignment="1" applyProtection="1">
      <alignment horizontal="center"/>
      <protection/>
    </xf>
    <xf numFmtId="0" fontId="1" fillId="0" borderId="0" xfId="0" applyFont="1" applyAlignment="1">
      <alignment horizontal="right"/>
    </xf>
    <xf numFmtId="2" fontId="1" fillId="0" borderId="0" xfId="0" applyNumberFormat="1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0" fillId="0" borderId="12" xfId="0" applyBorder="1" applyAlignment="1">
      <alignment horizontal="center"/>
    </xf>
    <xf numFmtId="0" fontId="1" fillId="0" borderId="0" xfId="0" applyFont="1" applyAlignment="1" applyProtection="1">
      <alignment horizontal="left"/>
      <protection/>
    </xf>
    <xf numFmtId="0" fontId="1" fillId="0" borderId="10" xfId="0" applyFont="1" applyBorder="1" applyAlignment="1" applyProtection="1">
      <alignment horizontal="left"/>
      <protection/>
    </xf>
    <xf numFmtId="0" fontId="0" fillId="0" borderId="16" xfId="0" applyBorder="1" applyAlignment="1">
      <alignment horizontal="center"/>
    </xf>
    <xf numFmtId="164" fontId="0" fillId="0" borderId="0" xfId="0" applyNumberFormat="1" applyFont="1" applyAlignment="1">
      <alignment horizontal="center"/>
    </xf>
    <xf numFmtId="0" fontId="5" fillId="3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12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76200</xdr:rowOff>
    </xdr:from>
    <xdr:to>
      <xdr:col>0</xdr:col>
      <xdr:colOff>1895475</xdr:colOff>
      <xdr:row>3</xdr:row>
      <xdr:rowOff>0</xdr:rowOff>
    </xdr:to>
    <xdr:pic>
      <xdr:nvPicPr>
        <xdr:cNvPr id="1" name="Picture 1" descr="xlogobk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18288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609600</xdr:colOff>
      <xdr:row>128</xdr:row>
      <xdr:rowOff>9525</xdr:rowOff>
    </xdr:from>
    <xdr:to>
      <xdr:col>6</xdr:col>
      <xdr:colOff>933450</xdr:colOff>
      <xdr:row>136</xdr:row>
      <xdr:rowOff>9525</xdr:rowOff>
    </xdr:to>
    <xdr:pic>
      <xdr:nvPicPr>
        <xdr:cNvPr id="2" name="Picture 3" descr="CDP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9775" y="21259800"/>
          <a:ext cx="20574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</xdr:row>
      <xdr:rowOff>38100</xdr:rowOff>
    </xdr:from>
    <xdr:to>
      <xdr:col>10</xdr:col>
      <xdr:colOff>723900</xdr:colOff>
      <xdr:row>6</xdr:row>
      <xdr:rowOff>161925</xdr:rowOff>
    </xdr:to>
    <xdr:pic>
      <xdr:nvPicPr>
        <xdr:cNvPr id="3" name="Picture 5" descr="Team Forage logo_s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963275" y="200025"/>
          <a:ext cx="21717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2</xdr:col>
      <xdr:colOff>276225</xdr:colOff>
      <xdr:row>3</xdr:row>
      <xdr:rowOff>9525</xdr:rowOff>
    </xdr:to>
    <xdr:pic>
      <xdr:nvPicPr>
        <xdr:cNvPr id="1" name="Picture 2" descr="xlogobk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8288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40</xdr:row>
      <xdr:rowOff>76200</xdr:rowOff>
    </xdr:from>
    <xdr:to>
      <xdr:col>9</xdr:col>
      <xdr:colOff>838200</xdr:colOff>
      <xdr:row>48</xdr:row>
      <xdr:rowOff>76200</xdr:rowOff>
    </xdr:to>
    <xdr:pic>
      <xdr:nvPicPr>
        <xdr:cNvPr id="2" name="Picture 3" descr="CDP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29200" y="6686550"/>
          <a:ext cx="20574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400050</xdr:colOff>
      <xdr:row>0</xdr:row>
      <xdr:rowOff>76200</xdr:rowOff>
    </xdr:from>
    <xdr:to>
      <xdr:col>15</xdr:col>
      <xdr:colOff>666750</xdr:colOff>
      <xdr:row>4</xdr:row>
      <xdr:rowOff>133350</xdr:rowOff>
    </xdr:to>
    <xdr:pic>
      <xdr:nvPicPr>
        <xdr:cNvPr id="3" name="Picture 4" descr="Team Forage logo_s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53575" y="76200"/>
          <a:ext cx="16383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0</xdr:row>
      <xdr:rowOff>85725</xdr:rowOff>
    </xdr:from>
    <xdr:to>
      <xdr:col>8</xdr:col>
      <xdr:colOff>542925</xdr:colOff>
      <xdr:row>4</xdr:row>
      <xdr:rowOff>85725</xdr:rowOff>
    </xdr:to>
    <xdr:pic>
      <xdr:nvPicPr>
        <xdr:cNvPr id="1" name="Picture 1" descr="Team Forage logo_s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85725"/>
          <a:ext cx="1447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66675</xdr:rowOff>
    </xdr:from>
    <xdr:to>
      <xdr:col>1</xdr:col>
      <xdr:colOff>723900</xdr:colOff>
      <xdr:row>2</xdr:row>
      <xdr:rowOff>152400</xdr:rowOff>
    </xdr:to>
    <xdr:pic>
      <xdr:nvPicPr>
        <xdr:cNvPr id="2" name="Picture 2" descr="xlogobk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66675"/>
          <a:ext cx="18288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304800</xdr:colOff>
      <xdr:row>31</xdr:row>
      <xdr:rowOff>9525</xdr:rowOff>
    </xdr:from>
    <xdr:to>
      <xdr:col>5</xdr:col>
      <xdr:colOff>266700</xdr:colOff>
      <xdr:row>39</xdr:row>
      <xdr:rowOff>9525</xdr:rowOff>
    </xdr:to>
    <xdr:pic>
      <xdr:nvPicPr>
        <xdr:cNvPr id="3" name="Picture 3" descr="CDP 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62325" y="5133975"/>
          <a:ext cx="20574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ass.usda.gov/Statistics_by_State/Wisconsin/Publications/custom_rates_2010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L127"/>
  <sheetViews>
    <sheetView tabSelected="1" zoomScale="75" zoomScaleNormal="75" zoomScalePageLayoutView="0" workbookViewId="0" topLeftCell="A43">
      <selection activeCell="D59" sqref="D59"/>
    </sheetView>
  </sheetViews>
  <sheetFormatPr defaultColWidth="9.140625" defaultRowHeight="12.75"/>
  <cols>
    <col min="1" max="1" width="44.57421875" style="0" customWidth="1"/>
    <col min="2" max="2" width="17.57421875" style="2" customWidth="1"/>
    <col min="3" max="3" width="16.00390625" style="2" customWidth="1"/>
    <col min="4" max="4" width="11.421875" style="2" customWidth="1"/>
    <col min="5" max="5" width="11.421875" style="3" customWidth="1"/>
    <col min="6" max="6" width="3.140625" style="2" customWidth="1"/>
    <col min="7" max="7" width="41.57421875" style="2" customWidth="1"/>
    <col min="8" max="8" width="17.57421875" style="2" customWidth="1"/>
    <col min="9" max="10" width="11.421875" style="2" customWidth="1"/>
    <col min="11" max="11" width="11.8515625" style="0" customWidth="1"/>
  </cols>
  <sheetData>
    <row r="7" spans="1:2" ht="15.75">
      <c r="A7" s="30" t="s">
        <v>130</v>
      </c>
      <c r="B7" s="31"/>
    </row>
    <row r="8" spans="1:2" ht="15.75">
      <c r="A8" s="30" t="s">
        <v>74</v>
      </c>
      <c r="B8" s="31"/>
    </row>
    <row r="9" ht="12.75">
      <c r="A9" s="1"/>
    </row>
    <row r="10" spans="1:2" ht="15.75">
      <c r="A10" s="29" t="s">
        <v>41</v>
      </c>
      <c r="B10" s="32"/>
    </row>
    <row r="11" ht="12.75">
      <c r="A11" s="17"/>
    </row>
    <row r="12" spans="1:11" ht="15.75">
      <c r="A12" s="27" t="s">
        <v>62</v>
      </c>
      <c r="G12" s="27" t="s">
        <v>63</v>
      </c>
      <c r="H12" s="15"/>
      <c r="I12" s="15"/>
      <c r="J12" s="15"/>
      <c r="K12" s="28"/>
    </row>
    <row r="13" ht="12.75">
      <c r="A13" s="17"/>
    </row>
    <row r="14" spans="1:11" ht="12.75">
      <c r="A14" s="22"/>
      <c r="B14" s="23" t="s">
        <v>2</v>
      </c>
      <c r="C14" s="23" t="s">
        <v>3</v>
      </c>
      <c r="D14" s="23" t="s">
        <v>4</v>
      </c>
      <c r="E14" s="26" t="s">
        <v>5</v>
      </c>
      <c r="G14" s="33"/>
      <c r="H14" s="23" t="s">
        <v>2</v>
      </c>
      <c r="I14" s="23" t="s">
        <v>3</v>
      </c>
      <c r="J14" s="23" t="s">
        <v>4</v>
      </c>
      <c r="K14" s="23" t="s">
        <v>5</v>
      </c>
    </row>
    <row r="15" spans="1:11" ht="13.5" thickBot="1">
      <c r="A15" s="24"/>
      <c r="B15" s="21"/>
      <c r="C15" s="98" t="s">
        <v>104</v>
      </c>
      <c r="D15" s="21" t="s">
        <v>105</v>
      </c>
      <c r="E15" s="52" t="s">
        <v>6</v>
      </c>
      <c r="G15" s="54"/>
      <c r="H15" s="21"/>
      <c r="I15" s="98" t="s">
        <v>104</v>
      </c>
      <c r="J15" s="21" t="s">
        <v>105</v>
      </c>
      <c r="K15" s="21" t="s">
        <v>6</v>
      </c>
    </row>
    <row r="16" spans="5:7" ht="12.75">
      <c r="E16" s="25"/>
      <c r="G16" s="33"/>
    </row>
    <row r="17" spans="1:11" ht="14.25">
      <c r="A17" s="9" t="s">
        <v>129</v>
      </c>
      <c r="E17" s="25"/>
      <c r="G17" s="35" t="s">
        <v>69</v>
      </c>
      <c r="H17" s="36"/>
      <c r="I17" s="36"/>
      <c r="J17" s="36"/>
      <c r="K17" s="36"/>
    </row>
    <row r="18" spans="5:11" ht="12.75">
      <c r="E18" s="25"/>
      <c r="G18" s="20"/>
      <c r="H18" s="36"/>
      <c r="I18" s="36"/>
      <c r="J18" s="36"/>
      <c r="K18" s="36"/>
    </row>
    <row r="19" spans="1:11" ht="14.25">
      <c r="A19" t="s">
        <v>31</v>
      </c>
      <c r="B19" s="2" t="s">
        <v>21</v>
      </c>
      <c r="C19" s="3">
        <v>3.75</v>
      </c>
      <c r="D19" s="3">
        <v>276.24</v>
      </c>
      <c r="E19" s="25">
        <f>(C19*D19)</f>
        <v>1035.9</v>
      </c>
      <c r="F19" s="3"/>
      <c r="G19" s="20" t="s">
        <v>70</v>
      </c>
      <c r="H19" s="36" t="s">
        <v>21</v>
      </c>
      <c r="I19" s="48"/>
      <c r="J19" s="48"/>
      <c r="K19" s="37">
        <f>(I19*J19)</f>
        <v>0</v>
      </c>
    </row>
    <row r="20" spans="3:11" ht="12.75">
      <c r="C20" s="3"/>
      <c r="D20" s="3"/>
      <c r="E20" s="25"/>
      <c r="F20" s="3"/>
      <c r="G20" s="20"/>
      <c r="H20" s="36"/>
      <c r="I20" s="37"/>
      <c r="J20" s="37"/>
      <c r="K20" s="37"/>
    </row>
    <row r="21" spans="1:11" ht="12.75">
      <c r="A21" s="4" t="s">
        <v>22</v>
      </c>
      <c r="C21" s="3"/>
      <c r="D21" s="3"/>
      <c r="E21" s="25">
        <f>SUM(E19:E20)</f>
        <v>1035.9</v>
      </c>
      <c r="F21" s="3"/>
      <c r="G21" s="38" t="s">
        <v>22</v>
      </c>
      <c r="H21" s="36"/>
      <c r="I21" s="37"/>
      <c r="J21" s="37"/>
      <c r="K21" s="37">
        <f>SUM(K19:K20)</f>
        <v>0</v>
      </c>
    </row>
    <row r="22" spans="5:11" ht="12.75">
      <c r="E22" s="25"/>
      <c r="G22" s="20"/>
      <c r="H22" s="36"/>
      <c r="I22" s="36"/>
      <c r="J22" s="36"/>
      <c r="K22" s="36"/>
    </row>
    <row r="23" spans="1:11" ht="12.75">
      <c r="A23" s="9" t="s">
        <v>10</v>
      </c>
      <c r="E23" s="25"/>
      <c r="G23" s="35" t="s">
        <v>10</v>
      </c>
      <c r="H23" s="36"/>
      <c r="I23" s="36"/>
      <c r="J23" s="36"/>
      <c r="K23" s="36"/>
    </row>
    <row r="24" spans="1:11" ht="12.75">
      <c r="A24" s="1"/>
      <c r="E24" s="25"/>
      <c r="G24" s="39"/>
      <c r="H24" s="36"/>
      <c r="I24" s="36"/>
      <c r="J24" s="36"/>
      <c r="K24" s="36"/>
    </row>
    <row r="25" spans="1:11" ht="14.25">
      <c r="A25" t="s">
        <v>30</v>
      </c>
      <c r="E25" s="25"/>
      <c r="F25" s="3"/>
      <c r="G25" s="20" t="s">
        <v>100</v>
      </c>
      <c r="H25" s="36"/>
      <c r="I25" s="36"/>
      <c r="J25" s="36"/>
      <c r="K25" s="37"/>
    </row>
    <row r="26" spans="1:11" ht="12.75">
      <c r="A26" s="4" t="s">
        <v>23</v>
      </c>
      <c r="B26" s="2" t="s">
        <v>0</v>
      </c>
      <c r="C26" s="3">
        <v>10</v>
      </c>
      <c r="D26" s="58">
        <v>2.92</v>
      </c>
      <c r="E26" s="25">
        <f>(C26*D26)/6</f>
        <v>4.866666666666666</v>
      </c>
      <c r="F26" s="3"/>
      <c r="G26" s="97"/>
      <c r="H26" s="48"/>
      <c r="I26" s="48"/>
      <c r="J26" s="48"/>
      <c r="K26" s="37">
        <f>(I26*J26)</f>
        <v>0</v>
      </c>
    </row>
    <row r="27" spans="1:11" ht="12.75">
      <c r="A27" s="4" t="s">
        <v>83</v>
      </c>
      <c r="B27" s="2" t="s">
        <v>0</v>
      </c>
      <c r="C27" s="3">
        <v>2</v>
      </c>
      <c r="D27" s="58">
        <v>3.76</v>
      </c>
      <c r="E27" s="25">
        <f>(C27*D27)/6</f>
        <v>1.2533333333333332</v>
      </c>
      <c r="F27" s="3"/>
      <c r="G27" s="97"/>
      <c r="H27" s="48"/>
      <c r="I27" s="48"/>
      <c r="J27" s="48"/>
      <c r="K27" s="37">
        <f>(I27*J27)</f>
        <v>0</v>
      </c>
    </row>
    <row r="28" spans="1:11" ht="12.75">
      <c r="A28" s="4" t="s">
        <v>92</v>
      </c>
      <c r="B28" s="2" t="s">
        <v>1</v>
      </c>
      <c r="C28" s="3">
        <v>1</v>
      </c>
      <c r="D28" s="58">
        <v>17.65</v>
      </c>
      <c r="E28" s="25">
        <f>(C28*D28)*0.17</f>
        <v>3.0005</v>
      </c>
      <c r="F28" s="3"/>
      <c r="G28" s="97"/>
      <c r="H28" s="48"/>
      <c r="I28" s="48"/>
      <c r="J28" s="48"/>
      <c r="K28" s="37">
        <f>(I28*J28)</f>
        <v>0</v>
      </c>
    </row>
    <row r="29" spans="1:11" ht="12.75">
      <c r="A29" s="4"/>
      <c r="C29" s="3"/>
      <c r="D29" s="3"/>
      <c r="E29" s="25"/>
      <c r="F29" s="3"/>
      <c r="G29" s="38"/>
      <c r="H29" s="36"/>
      <c r="I29" s="37"/>
      <c r="J29" s="37"/>
      <c r="K29" s="37"/>
    </row>
    <row r="30" spans="1:11" ht="14.25">
      <c r="A30" s="5" t="s">
        <v>33</v>
      </c>
      <c r="C30" s="3"/>
      <c r="D30" s="3"/>
      <c r="E30" s="25"/>
      <c r="F30" s="3"/>
      <c r="G30" s="40" t="s">
        <v>68</v>
      </c>
      <c r="H30" s="36"/>
      <c r="I30" s="37"/>
      <c r="J30" s="37"/>
      <c r="K30" s="37"/>
    </row>
    <row r="31" spans="1:11" ht="12.75" customHeight="1">
      <c r="A31" s="4" t="s">
        <v>112</v>
      </c>
      <c r="B31" s="34" t="s">
        <v>65</v>
      </c>
      <c r="C31" s="3">
        <v>20</v>
      </c>
      <c r="D31" s="3">
        <v>0.31</v>
      </c>
      <c r="E31" s="25">
        <f>(C31*D31)</f>
        <v>6.2</v>
      </c>
      <c r="F31" s="3"/>
      <c r="G31" s="38" t="s">
        <v>64</v>
      </c>
      <c r="H31" s="41" t="s">
        <v>65</v>
      </c>
      <c r="I31" s="48"/>
      <c r="J31" s="48"/>
      <c r="K31" s="37">
        <f>(I31*J31)</f>
        <v>0</v>
      </c>
    </row>
    <row r="32" spans="1:11" ht="12.75" customHeight="1">
      <c r="A32" s="4" t="s">
        <v>66</v>
      </c>
      <c r="B32" s="34" t="s">
        <v>65</v>
      </c>
      <c r="C32" s="3">
        <v>60</v>
      </c>
      <c r="D32" s="3">
        <v>0.28</v>
      </c>
      <c r="E32" s="25">
        <f>(C32*D32)</f>
        <v>16.8</v>
      </c>
      <c r="F32" s="3"/>
      <c r="G32" s="38" t="s">
        <v>66</v>
      </c>
      <c r="H32" s="41" t="s">
        <v>65</v>
      </c>
      <c r="I32" s="48"/>
      <c r="J32" s="48"/>
      <c r="K32" s="37">
        <f>(I32*J32)</f>
        <v>0</v>
      </c>
    </row>
    <row r="33" spans="1:11" ht="12.75" customHeight="1">
      <c r="A33" s="4" t="s">
        <v>67</v>
      </c>
      <c r="B33" s="34" t="s">
        <v>65</v>
      </c>
      <c r="C33" s="3">
        <v>218</v>
      </c>
      <c r="D33" s="3">
        <v>0.27</v>
      </c>
      <c r="E33" s="25">
        <f>(C33*D33)</f>
        <v>58.86000000000001</v>
      </c>
      <c r="F33" s="3"/>
      <c r="G33" s="38" t="s">
        <v>85</v>
      </c>
      <c r="H33" s="41" t="s">
        <v>65</v>
      </c>
      <c r="I33" s="48"/>
      <c r="J33" s="48"/>
      <c r="K33" s="37">
        <f>(I33*J33)</f>
        <v>0</v>
      </c>
    </row>
    <row r="34" spans="1:11" ht="12.75">
      <c r="A34" s="4" t="s">
        <v>13</v>
      </c>
      <c r="B34" s="2" t="s">
        <v>1</v>
      </c>
      <c r="C34" s="3">
        <v>3</v>
      </c>
      <c r="D34" s="3">
        <v>1.5</v>
      </c>
      <c r="E34" s="25">
        <f>(C34*D34)</f>
        <v>4.5</v>
      </c>
      <c r="F34" s="3"/>
      <c r="G34" s="38" t="s">
        <v>13</v>
      </c>
      <c r="H34" s="36" t="s">
        <v>1</v>
      </c>
      <c r="I34" s="48"/>
      <c r="J34" s="48"/>
      <c r="K34" s="37">
        <f>(I34*J34)</f>
        <v>0</v>
      </c>
    </row>
    <row r="35" spans="1:11" ht="12.75">
      <c r="A35" s="4"/>
      <c r="C35" s="3"/>
      <c r="D35" s="3"/>
      <c r="E35" s="25"/>
      <c r="F35" s="3"/>
      <c r="G35" s="38"/>
      <c r="H35" s="36"/>
      <c r="I35" s="37"/>
      <c r="J35" s="37"/>
      <c r="K35" s="37"/>
    </row>
    <row r="36" spans="1:11" ht="12.75">
      <c r="A36" s="5" t="s">
        <v>27</v>
      </c>
      <c r="B36" s="2" t="s">
        <v>12</v>
      </c>
      <c r="C36" s="3">
        <v>0</v>
      </c>
      <c r="D36" s="3">
        <v>0</v>
      </c>
      <c r="E36" s="25">
        <f>(C36*D36)</f>
        <v>0</v>
      </c>
      <c r="F36" s="3"/>
      <c r="G36" s="40" t="s">
        <v>27</v>
      </c>
      <c r="H36" s="36" t="s">
        <v>12</v>
      </c>
      <c r="I36" s="48"/>
      <c r="J36" s="48"/>
      <c r="K36" s="37">
        <f>(I36*J36)</f>
        <v>0</v>
      </c>
    </row>
    <row r="37" spans="1:11" ht="12.75">
      <c r="A37" s="5" t="s">
        <v>28</v>
      </c>
      <c r="C37" s="99">
        <f>(E36)</f>
        <v>0</v>
      </c>
      <c r="D37" s="8">
        <v>0.0765</v>
      </c>
      <c r="E37" s="25">
        <f>(C37*D37)</f>
        <v>0</v>
      </c>
      <c r="F37" s="3"/>
      <c r="G37" s="40" t="s">
        <v>28</v>
      </c>
      <c r="H37" s="36"/>
      <c r="I37" s="100">
        <f>(K36)</f>
        <v>0</v>
      </c>
      <c r="J37" s="42">
        <v>0.0765</v>
      </c>
      <c r="K37" s="37">
        <f>(I37*J37)</f>
        <v>0</v>
      </c>
    </row>
    <row r="38" spans="1:11" ht="12.75">
      <c r="A38" s="4"/>
      <c r="C38" s="3"/>
      <c r="D38" s="3"/>
      <c r="E38" s="25"/>
      <c r="F38" s="3"/>
      <c r="G38" s="38"/>
      <c r="H38" s="36"/>
      <c r="I38" s="37"/>
      <c r="J38" s="37"/>
      <c r="K38" s="37"/>
    </row>
    <row r="39" spans="1:11" ht="12.75">
      <c r="A39" s="7" t="s">
        <v>114</v>
      </c>
      <c r="B39" s="2" t="s">
        <v>19</v>
      </c>
      <c r="C39" s="3">
        <v>1</v>
      </c>
      <c r="D39" s="8">
        <v>0.04</v>
      </c>
      <c r="E39" s="25">
        <f>(E74+E76)*D39</f>
        <v>0.8176000000000001</v>
      </c>
      <c r="F39" s="13"/>
      <c r="G39" s="43" t="s">
        <v>26</v>
      </c>
      <c r="H39" s="36" t="s">
        <v>19</v>
      </c>
      <c r="I39" s="48"/>
      <c r="J39" s="48"/>
      <c r="K39" s="44">
        <f>(K74+K76)*J39</f>
        <v>0</v>
      </c>
    </row>
    <row r="40" spans="1:11" ht="12.75">
      <c r="A40" s="7"/>
      <c r="C40" s="3"/>
      <c r="D40" s="3"/>
      <c r="E40" s="25"/>
      <c r="F40" s="3"/>
      <c r="G40" s="43"/>
      <c r="H40" s="36"/>
      <c r="I40" s="37"/>
      <c r="J40" s="37"/>
      <c r="K40" s="37"/>
    </row>
    <row r="41" spans="1:11" ht="12.75">
      <c r="A41" s="7" t="s">
        <v>115</v>
      </c>
      <c r="B41" s="2" t="s">
        <v>19</v>
      </c>
      <c r="C41" s="3">
        <v>1</v>
      </c>
      <c r="D41" s="8">
        <v>0.04</v>
      </c>
      <c r="E41" s="25">
        <f>(E78)*D41</f>
        <v>0.0992</v>
      </c>
      <c r="F41" s="13"/>
      <c r="G41" s="43" t="s">
        <v>36</v>
      </c>
      <c r="H41" s="36" t="s">
        <v>19</v>
      </c>
      <c r="I41" s="48"/>
      <c r="J41" s="48"/>
      <c r="K41" s="44">
        <f>(K78)*J41</f>
        <v>0</v>
      </c>
    </row>
    <row r="42" spans="1:11" ht="12.75">
      <c r="A42" s="7"/>
      <c r="C42" s="3"/>
      <c r="D42" s="3"/>
      <c r="E42" s="25"/>
      <c r="F42" s="3"/>
      <c r="G42" s="43"/>
      <c r="H42" s="36"/>
      <c r="I42" s="37"/>
      <c r="J42" s="37"/>
      <c r="K42" s="37"/>
    </row>
    <row r="43" spans="1:11" ht="12.75">
      <c r="A43" s="7" t="s">
        <v>116</v>
      </c>
      <c r="B43" s="2" t="s">
        <v>126</v>
      </c>
      <c r="C43" s="3">
        <v>1</v>
      </c>
      <c r="D43" s="8">
        <v>0.04</v>
      </c>
      <c r="E43" s="25">
        <f>(E80)*D43</f>
        <v>0.0668</v>
      </c>
      <c r="F43" s="13"/>
      <c r="G43" s="43" t="s">
        <v>35</v>
      </c>
      <c r="H43" s="36" t="s">
        <v>19</v>
      </c>
      <c r="I43" s="48"/>
      <c r="J43" s="48"/>
      <c r="K43" s="44">
        <f>(K80)*J43</f>
        <v>0</v>
      </c>
    </row>
    <row r="44" spans="1:11" ht="12.75">
      <c r="A44" s="5"/>
      <c r="C44" s="3"/>
      <c r="D44" s="3"/>
      <c r="E44" s="25"/>
      <c r="F44" s="3"/>
      <c r="G44" s="40"/>
      <c r="H44" s="36"/>
      <c r="I44" s="37"/>
      <c r="J44" s="37"/>
      <c r="K44" s="37"/>
    </row>
    <row r="45" spans="1:11" ht="12.75">
      <c r="A45" s="5" t="s">
        <v>7</v>
      </c>
      <c r="C45" s="3"/>
      <c r="D45" s="3"/>
      <c r="E45" s="25"/>
      <c r="F45" s="3"/>
      <c r="G45" s="40" t="s">
        <v>7</v>
      </c>
      <c r="H45" s="36"/>
      <c r="I45" s="37"/>
      <c r="J45" s="37"/>
      <c r="K45" s="37"/>
    </row>
    <row r="46" spans="1:11" ht="12.75">
      <c r="A46" s="5" t="s">
        <v>14</v>
      </c>
      <c r="B46" s="2" t="s">
        <v>1</v>
      </c>
      <c r="C46" s="3">
        <v>1</v>
      </c>
      <c r="D46" s="3">
        <v>4.4</v>
      </c>
      <c r="E46" s="25">
        <f>(C46*D46)</f>
        <v>4.4</v>
      </c>
      <c r="F46" s="3"/>
      <c r="G46" s="40" t="s">
        <v>14</v>
      </c>
      <c r="H46" s="36" t="s">
        <v>1</v>
      </c>
      <c r="I46" s="48"/>
      <c r="J46" s="48"/>
      <c r="K46" s="37">
        <f>(I46*J46)</f>
        <v>0</v>
      </c>
    </row>
    <row r="47" spans="1:11" ht="12.75">
      <c r="A47" s="5" t="s">
        <v>29</v>
      </c>
      <c r="B47" s="2" t="s">
        <v>1</v>
      </c>
      <c r="C47" s="3">
        <v>1</v>
      </c>
      <c r="D47" s="3">
        <v>0.66</v>
      </c>
      <c r="E47" s="25">
        <f>(C47*D47)</f>
        <v>0.66</v>
      </c>
      <c r="F47" s="3"/>
      <c r="G47" s="40" t="s">
        <v>29</v>
      </c>
      <c r="H47" s="36" t="s">
        <v>1</v>
      </c>
      <c r="I47" s="48"/>
      <c r="J47" s="48"/>
      <c r="K47" s="37">
        <f>(I47*J47)</f>
        <v>0</v>
      </c>
    </row>
    <row r="48" spans="1:11" ht="12.75">
      <c r="A48" s="5" t="s">
        <v>15</v>
      </c>
      <c r="B48" s="2" t="s">
        <v>1</v>
      </c>
      <c r="C48" s="3">
        <v>1</v>
      </c>
      <c r="D48" s="3">
        <v>2.67</v>
      </c>
      <c r="E48" s="25">
        <f>(C48*D48)</f>
        <v>2.67</v>
      </c>
      <c r="F48" s="3"/>
      <c r="G48" s="40" t="s">
        <v>15</v>
      </c>
      <c r="H48" s="36" t="s">
        <v>1</v>
      </c>
      <c r="I48" s="48"/>
      <c r="J48" s="48"/>
      <c r="K48" s="37">
        <f>(I48*J48)</f>
        <v>0</v>
      </c>
    </row>
    <row r="49" spans="1:11" ht="12.75">
      <c r="A49" s="5"/>
      <c r="C49" s="3"/>
      <c r="D49" s="3"/>
      <c r="E49" s="25"/>
      <c r="F49" s="3"/>
      <c r="G49" s="40"/>
      <c r="H49" s="36"/>
      <c r="I49" s="37"/>
      <c r="J49" s="37"/>
      <c r="K49" s="37"/>
    </row>
    <row r="50" spans="1:11" ht="14.25">
      <c r="A50" s="5"/>
      <c r="C50" s="3"/>
      <c r="D50" s="3"/>
      <c r="E50" s="25"/>
      <c r="F50" s="3"/>
      <c r="G50" s="40" t="s">
        <v>76</v>
      </c>
      <c r="H50" s="36" t="s">
        <v>1</v>
      </c>
      <c r="I50" s="47"/>
      <c r="J50" s="48"/>
      <c r="K50" s="37">
        <f>(I50*J50)</f>
        <v>0</v>
      </c>
    </row>
    <row r="51" spans="1:11" ht="12.75">
      <c r="A51" s="5"/>
      <c r="C51" s="3"/>
      <c r="D51" s="3"/>
      <c r="E51" s="25"/>
      <c r="F51" s="3"/>
      <c r="G51" s="40"/>
      <c r="H51" s="36"/>
      <c r="I51" s="37"/>
      <c r="J51" s="37"/>
      <c r="K51" s="37"/>
    </row>
    <row r="52" spans="1:11" ht="12.75">
      <c r="A52" s="4" t="s">
        <v>18</v>
      </c>
      <c r="C52" s="3"/>
      <c r="D52" s="3"/>
      <c r="E52" s="25">
        <f>SUM(E26:E51)</f>
        <v>104.1941</v>
      </c>
      <c r="F52" s="3"/>
      <c r="G52" s="38" t="s">
        <v>18</v>
      </c>
      <c r="H52" s="36"/>
      <c r="I52" s="37"/>
      <c r="J52" s="37"/>
      <c r="K52" s="37">
        <f>SUM(K26:K51)</f>
        <v>0</v>
      </c>
    </row>
    <row r="53" spans="1:11" ht="12.75">
      <c r="A53" s="5"/>
      <c r="C53" s="3"/>
      <c r="D53" s="3"/>
      <c r="E53" s="25"/>
      <c r="F53" s="3"/>
      <c r="G53" s="40"/>
      <c r="H53" s="36"/>
      <c r="I53" s="37"/>
      <c r="J53" s="37"/>
      <c r="K53" s="37"/>
    </row>
    <row r="54" spans="1:11" ht="12.75">
      <c r="A54" s="4" t="s">
        <v>8</v>
      </c>
      <c r="B54" s="2" t="s">
        <v>1</v>
      </c>
      <c r="C54" s="3">
        <f>(E52)</f>
        <v>104.1941</v>
      </c>
      <c r="D54" s="8">
        <v>0.0385</v>
      </c>
      <c r="E54" s="25">
        <f>(C54*D54)/2</f>
        <v>2.0057364250000003</v>
      </c>
      <c r="F54" s="3"/>
      <c r="G54" s="38" t="s">
        <v>8</v>
      </c>
      <c r="H54" s="36" t="s">
        <v>1</v>
      </c>
      <c r="I54" s="37">
        <f>(K52)</f>
        <v>0</v>
      </c>
      <c r="J54" s="57"/>
      <c r="K54" s="37">
        <f>(I54*J54)/2</f>
        <v>0</v>
      </c>
    </row>
    <row r="55" spans="1:11" ht="12.75">
      <c r="A55" s="4"/>
      <c r="C55" s="3"/>
      <c r="D55" s="8"/>
      <c r="E55" s="25"/>
      <c r="F55" s="3"/>
      <c r="G55" s="38"/>
      <c r="H55" s="36"/>
      <c r="I55" s="37"/>
      <c r="J55" s="42"/>
      <c r="K55" s="37"/>
    </row>
    <row r="56" spans="1:11" ht="12.75">
      <c r="A56" s="101" t="s">
        <v>113</v>
      </c>
      <c r="B56" s="102"/>
      <c r="C56" s="103"/>
      <c r="D56" s="104"/>
      <c r="E56" s="26">
        <f>SUM(E52:E54)</f>
        <v>106.199836425</v>
      </c>
      <c r="F56" s="105"/>
      <c r="G56" s="101" t="s">
        <v>113</v>
      </c>
      <c r="I56" s="3"/>
      <c r="J56" s="8"/>
      <c r="K56" s="10">
        <f>SUM(K52:K54)</f>
        <v>0</v>
      </c>
    </row>
    <row r="57" spans="1:11" ht="12.75">
      <c r="A57" s="106"/>
      <c r="B57" s="102"/>
      <c r="C57" s="103"/>
      <c r="D57" s="104"/>
      <c r="E57" s="107"/>
      <c r="F57" s="105"/>
      <c r="G57" s="108"/>
      <c r="I57" s="3"/>
      <c r="J57" s="8"/>
      <c r="K57" s="10"/>
    </row>
    <row r="58" spans="1:11" ht="12.75">
      <c r="A58" s="101" t="s">
        <v>117</v>
      </c>
      <c r="B58" s="102"/>
      <c r="C58" s="103"/>
      <c r="D58" s="104"/>
      <c r="E58" s="109">
        <f>(E56/C19)</f>
        <v>28.31995638</v>
      </c>
      <c r="F58" s="105"/>
      <c r="G58" s="101" t="s">
        <v>117</v>
      </c>
      <c r="H58" s="102"/>
      <c r="I58" s="103"/>
      <c r="J58" s="104"/>
      <c r="K58" s="109" t="e">
        <f>(K56/I19)</f>
        <v>#DIV/0!</v>
      </c>
    </row>
    <row r="59" spans="1:11" ht="12.75">
      <c r="A59" s="5"/>
      <c r="C59" s="3"/>
      <c r="D59" s="3"/>
      <c r="E59" s="25"/>
      <c r="F59" s="3"/>
      <c r="G59" s="40"/>
      <c r="H59" s="36"/>
      <c r="I59" s="37"/>
      <c r="J59" s="37"/>
      <c r="K59" s="37"/>
    </row>
    <row r="60" spans="1:11" ht="12.75">
      <c r="A60" s="9" t="s">
        <v>9</v>
      </c>
      <c r="C60" s="3"/>
      <c r="D60" s="3"/>
      <c r="E60" s="25"/>
      <c r="F60" s="3"/>
      <c r="G60" s="35" t="s">
        <v>9</v>
      </c>
      <c r="H60" s="36"/>
      <c r="I60" s="37"/>
      <c r="J60" s="37"/>
      <c r="K60" s="37"/>
    </row>
    <row r="61" spans="1:11" ht="12.75">
      <c r="A61" s="5"/>
      <c r="C61" s="3"/>
      <c r="D61" s="3"/>
      <c r="E61" s="25"/>
      <c r="F61" s="3"/>
      <c r="G61" s="40"/>
      <c r="H61" s="36"/>
      <c r="I61" s="37"/>
      <c r="J61" s="37"/>
      <c r="K61" s="37"/>
    </row>
    <row r="62" spans="2:11" s="1" customFormat="1" ht="12.75">
      <c r="B62" s="18" t="s">
        <v>2</v>
      </c>
      <c r="C62" s="18" t="s">
        <v>3</v>
      </c>
      <c r="D62" s="18" t="s">
        <v>4</v>
      </c>
      <c r="E62" s="26" t="s">
        <v>5</v>
      </c>
      <c r="F62" s="18"/>
      <c r="G62" s="39"/>
      <c r="H62" s="23" t="s">
        <v>2</v>
      </c>
      <c r="I62" s="23" t="s">
        <v>3</v>
      </c>
      <c r="J62" s="23" t="s">
        <v>4</v>
      </c>
      <c r="K62" s="23" t="s">
        <v>5</v>
      </c>
    </row>
    <row r="63" spans="1:11" s="1" customFormat="1" ht="12.75">
      <c r="A63" s="6"/>
      <c r="B63" s="18"/>
      <c r="C63" s="23" t="s">
        <v>104</v>
      </c>
      <c r="D63" s="23" t="s">
        <v>105</v>
      </c>
      <c r="E63" s="26" t="s">
        <v>6</v>
      </c>
      <c r="F63" s="18"/>
      <c r="G63" s="45"/>
      <c r="H63" s="23"/>
      <c r="I63" s="23" t="s">
        <v>104</v>
      </c>
      <c r="J63" s="23" t="s">
        <v>105</v>
      </c>
      <c r="K63" s="23" t="s">
        <v>6</v>
      </c>
    </row>
    <row r="64" spans="1:11" ht="12.75">
      <c r="A64" s="6"/>
      <c r="C64" s="3"/>
      <c r="D64" s="3"/>
      <c r="E64" s="25"/>
      <c r="F64" s="3"/>
      <c r="G64" s="45"/>
      <c r="H64" s="36"/>
      <c r="I64" s="37"/>
      <c r="J64" s="37"/>
      <c r="K64" s="37"/>
    </row>
    <row r="65" spans="1:11" ht="12.75">
      <c r="A65" s="7" t="s">
        <v>111</v>
      </c>
      <c r="B65" s="2" t="s">
        <v>1</v>
      </c>
      <c r="C65" s="3">
        <v>1</v>
      </c>
      <c r="D65" s="3">
        <v>36.15</v>
      </c>
      <c r="E65" s="25">
        <f>(C65*D65)</f>
        <v>36.15</v>
      </c>
      <c r="F65" s="3"/>
      <c r="G65" s="55" t="s">
        <v>81</v>
      </c>
      <c r="H65" s="36" t="s">
        <v>1</v>
      </c>
      <c r="I65" s="48"/>
      <c r="J65" s="48"/>
      <c r="K65" s="37">
        <f>(I65*J65)</f>
        <v>0</v>
      </c>
    </row>
    <row r="66" spans="1:11" ht="12.75">
      <c r="A66" s="7"/>
      <c r="C66" s="3"/>
      <c r="D66" s="3"/>
      <c r="E66" s="25"/>
      <c r="F66" s="3"/>
      <c r="G66" s="43"/>
      <c r="H66" s="36"/>
      <c r="I66" s="37"/>
      <c r="J66" s="37"/>
      <c r="K66" s="37"/>
    </row>
    <row r="67" spans="1:11" ht="12.75">
      <c r="A67" s="7" t="s">
        <v>24</v>
      </c>
      <c r="B67" s="120" t="s">
        <v>1</v>
      </c>
      <c r="C67" s="58">
        <v>1</v>
      </c>
      <c r="D67" s="58">
        <v>33.15</v>
      </c>
      <c r="E67" s="121">
        <f>(C67*D67)</f>
        <v>33.15</v>
      </c>
      <c r="F67" s="3"/>
      <c r="G67" s="43" t="s">
        <v>24</v>
      </c>
      <c r="H67" s="36" t="s">
        <v>1</v>
      </c>
      <c r="I67" s="48"/>
      <c r="J67" s="48"/>
      <c r="K67" s="37">
        <f>(I67*J67)</f>
        <v>0</v>
      </c>
    </row>
    <row r="68" spans="1:11" ht="12.75">
      <c r="A68" s="7" t="s">
        <v>25</v>
      </c>
      <c r="C68" s="3"/>
      <c r="D68" s="3"/>
      <c r="E68" s="25"/>
      <c r="F68" s="3"/>
      <c r="G68" s="43" t="s">
        <v>101</v>
      </c>
      <c r="H68" s="36"/>
      <c r="I68" s="37"/>
      <c r="J68" s="37"/>
      <c r="K68" s="37"/>
    </row>
    <row r="69" spans="1:11" ht="12.75">
      <c r="A69" s="6"/>
      <c r="C69" s="3"/>
      <c r="D69" s="3"/>
      <c r="E69" s="25"/>
      <c r="F69" s="3"/>
      <c r="G69" s="45"/>
      <c r="H69" s="36"/>
      <c r="I69" s="37"/>
      <c r="J69" s="37"/>
      <c r="K69" s="37"/>
    </row>
    <row r="70" spans="1:11" ht="12.75">
      <c r="A70" s="5" t="s">
        <v>7</v>
      </c>
      <c r="C70" s="3"/>
      <c r="D70" s="3"/>
      <c r="E70" s="25"/>
      <c r="F70" s="3"/>
      <c r="G70" s="40" t="s">
        <v>7</v>
      </c>
      <c r="H70" s="36"/>
      <c r="I70" s="37"/>
      <c r="J70" s="37"/>
      <c r="K70" s="37"/>
    </row>
    <row r="71" spans="1:11" ht="12.75">
      <c r="A71" s="5" t="s">
        <v>16</v>
      </c>
      <c r="B71" s="2" t="s">
        <v>1</v>
      </c>
      <c r="C71" s="3">
        <v>1</v>
      </c>
      <c r="D71" s="3">
        <v>4.93</v>
      </c>
      <c r="E71" s="25">
        <f>(C71*D71)</f>
        <v>4.93</v>
      </c>
      <c r="F71" s="3"/>
      <c r="G71" s="40" t="s">
        <v>16</v>
      </c>
      <c r="H71" s="36" t="s">
        <v>1</v>
      </c>
      <c r="I71" s="48"/>
      <c r="J71" s="48"/>
      <c r="K71" s="37">
        <f>(I71*J71)</f>
        <v>0</v>
      </c>
    </row>
    <row r="72" spans="1:11" ht="12.75">
      <c r="A72" s="5" t="s">
        <v>17</v>
      </c>
      <c r="B72" s="2" t="s">
        <v>1</v>
      </c>
      <c r="C72" s="3">
        <v>1</v>
      </c>
      <c r="D72" s="3">
        <v>2.46</v>
      </c>
      <c r="E72" s="25">
        <f>(C72*D72)</f>
        <v>2.46</v>
      </c>
      <c r="F72" s="3"/>
      <c r="G72" s="40" t="s">
        <v>17</v>
      </c>
      <c r="H72" s="36" t="s">
        <v>1</v>
      </c>
      <c r="I72" s="48"/>
      <c r="J72" s="48"/>
      <c r="K72" s="37">
        <f>(I72*J72)</f>
        <v>0</v>
      </c>
    </row>
    <row r="73" spans="1:11" ht="12.75">
      <c r="A73" s="5"/>
      <c r="C73" s="3"/>
      <c r="E73" s="25"/>
      <c r="F73" s="3"/>
      <c r="G73" s="40"/>
      <c r="H73" s="36"/>
      <c r="I73" s="37"/>
      <c r="J73" s="36"/>
      <c r="K73" s="37"/>
    </row>
    <row r="74" spans="1:11" ht="14.25">
      <c r="A74" t="s">
        <v>89</v>
      </c>
      <c r="B74" s="2" t="s">
        <v>19</v>
      </c>
      <c r="C74" s="3">
        <v>1</v>
      </c>
      <c r="D74" s="3">
        <v>12.13</v>
      </c>
      <c r="E74" s="25">
        <f>(C74*D74)</f>
        <v>12.13</v>
      </c>
      <c r="F74" s="3"/>
      <c r="G74" s="20" t="s">
        <v>106</v>
      </c>
      <c r="H74" s="36" t="s">
        <v>19</v>
      </c>
      <c r="I74" s="48"/>
      <c r="J74" s="48"/>
      <c r="K74" s="37">
        <f>(I74*J74)</f>
        <v>0</v>
      </c>
    </row>
    <row r="75" spans="3:11" ht="12.75">
      <c r="C75" s="3"/>
      <c r="D75" s="3"/>
      <c r="E75" s="25"/>
      <c r="F75" s="3"/>
      <c r="G75" s="20"/>
      <c r="H75" s="36"/>
      <c r="I75" s="37"/>
      <c r="J75" s="37"/>
      <c r="K75" s="37"/>
    </row>
    <row r="76" spans="1:11" ht="12.75">
      <c r="A76" t="s">
        <v>86</v>
      </c>
      <c r="B76" s="2" t="s">
        <v>19</v>
      </c>
      <c r="C76" s="3">
        <v>1</v>
      </c>
      <c r="D76" s="3">
        <v>8.31</v>
      </c>
      <c r="E76" s="25">
        <f>(C76*D76)</f>
        <v>8.31</v>
      </c>
      <c r="F76" s="3"/>
      <c r="G76" s="20" t="s">
        <v>107</v>
      </c>
      <c r="H76" s="36" t="s">
        <v>19</v>
      </c>
      <c r="I76" s="48"/>
      <c r="J76" s="48"/>
      <c r="K76" s="37">
        <f>(I76*J76)</f>
        <v>0</v>
      </c>
    </row>
    <row r="77" spans="3:11" ht="12.75">
      <c r="C77" s="3"/>
      <c r="D77" s="3"/>
      <c r="E77" s="25"/>
      <c r="F77" s="3"/>
      <c r="G77" s="20"/>
      <c r="H77" s="36"/>
      <c r="I77" s="37"/>
      <c r="J77" s="37"/>
      <c r="K77" s="37"/>
    </row>
    <row r="78" spans="1:11" ht="12.75">
      <c r="A78" t="s">
        <v>87</v>
      </c>
      <c r="B78" s="2" t="s">
        <v>19</v>
      </c>
      <c r="C78" s="3">
        <v>1</v>
      </c>
      <c r="D78" s="3">
        <v>2.48</v>
      </c>
      <c r="E78" s="25">
        <f>(C78*D78)</f>
        <v>2.48</v>
      </c>
      <c r="F78" s="3"/>
      <c r="G78" s="20" t="s">
        <v>108</v>
      </c>
      <c r="H78" s="36" t="s">
        <v>19</v>
      </c>
      <c r="I78" s="48"/>
      <c r="J78" s="48"/>
      <c r="K78" s="37">
        <f>(I78*J78)</f>
        <v>0</v>
      </c>
    </row>
    <row r="79" spans="3:11" ht="12.75">
      <c r="C79" s="3"/>
      <c r="D79" s="3"/>
      <c r="E79" s="25"/>
      <c r="F79" s="3"/>
      <c r="G79" s="20"/>
      <c r="H79" s="36"/>
      <c r="I79" s="37"/>
      <c r="J79" s="37"/>
      <c r="K79" s="37"/>
    </row>
    <row r="80" spans="1:11" ht="12.75">
      <c r="A80" t="s">
        <v>88</v>
      </c>
      <c r="B80" s="2" t="s">
        <v>19</v>
      </c>
      <c r="C80" s="3">
        <v>1</v>
      </c>
      <c r="D80" s="3">
        <v>1.67</v>
      </c>
      <c r="E80" s="25">
        <f>(C80*D80)</f>
        <v>1.67</v>
      </c>
      <c r="F80" s="3"/>
      <c r="G80" s="20" t="s">
        <v>109</v>
      </c>
      <c r="H80" s="36" t="s">
        <v>19</v>
      </c>
      <c r="I80" s="48"/>
      <c r="J80" s="48"/>
      <c r="K80" s="37">
        <f>(I80*J80)</f>
        <v>0</v>
      </c>
    </row>
    <row r="81" spans="5:11" ht="12.75">
      <c r="E81" s="25"/>
      <c r="G81" s="20"/>
      <c r="H81" s="36"/>
      <c r="I81" s="36"/>
      <c r="J81" s="36"/>
      <c r="K81" s="36"/>
    </row>
    <row r="82" spans="1:11" ht="12.75">
      <c r="A82" s="9" t="s">
        <v>11</v>
      </c>
      <c r="E82" s="25"/>
      <c r="G82" s="35" t="s">
        <v>11</v>
      </c>
      <c r="H82" s="36"/>
      <c r="I82" s="36"/>
      <c r="J82" s="36"/>
      <c r="K82" s="36"/>
    </row>
    <row r="83" spans="1:11" ht="12.75">
      <c r="A83" s="6"/>
      <c r="E83" s="25"/>
      <c r="G83" s="45"/>
      <c r="H83" s="36"/>
      <c r="I83" s="36"/>
      <c r="J83" s="36"/>
      <c r="K83" s="36"/>
    </row>
    <row r="84" spans="1:11" ht="14.25">
      <c r="A84" s="7" t="s">
        <v>39</v>
      </c>
      <c r="B84" s="2" t="s">
        <v>12</v>
      </c>
      <c r="C84" s="2">
        <v>0.66</v>
      </c>
      <c r="D84" s="3">
        <v>10</v>
      </c>
      <c r="E84" s="25">
        <f>(C84*D84)</f>
        <v>6.6000000000000005</v>
      </c>
      <c r="F84" s="3"/>
      <c r="G84" s="43" t="s">
        <v>102</v>
      </c>
      <c r="H84" s="36" t="s">
        <v>12</v>
      </c>
      <c r="I84" s="48"/>
      <c r="J84" s="48"/>
      <c r="K84" s="37">
        <f>(I84*J84)</f>
        <v>0</v>
      </c>
    </row>
    <row r="85" spans="1:11" ht="12.75">
      <c r="A85" s="7"/>
      <c r="D85" s="3"/>
      <c r="E85" s="25"/>
      <c r="F85" s="3"/>
      <c r="G85" s="43"/>
      <c r="H85" s="36"/>
      <c r="I85" s="36"/>
      <c r="J85" s="37"/>
      <c r="K85" s="37"/>
    </row>
    <row r="86" spans="1:11" ht="14.25">
      <c r="A86" s="7" t="s">
        <v>40</v>
      </c>
      <c r="B86" s="2" t="s">
        <v>12</v>
      </c>
      <c r="C86" s="2">
        <v>168</v>
      </c>
      <c r="D86" s="13">
        <v>0.125</v>
      </c>
      <c r="E86" s="25">
        <f>(C86*D86)</f>
        <v>21</v>
      </c>
      <c r="F86" s="3"/>
      <c r="G86" s="43" t="s">
        <v>103</v>
      </c>
      <c r="H86" s="36" t="s">
        <v>12</v>
      </c>
      <c r="I86" s="48"/>
      <c r="J86" s="48"/>
      <c r="K86" s="37">
        <f>(I86*J86)</f>
        <v>0</v>
      </c>
    </row>
    <row r="87" spans="1:11" ht="12.75">
      <c r="A87" s="7"/>
      <c r="D87" s="3"/>
      <c r="E87" s="25"/>
      <c r="F87" s="3"/>
      <c r="G87" s="43"/>
      <c r="H87" s="36"/>
      <c r="I87" s="36"/>
      <c r="J87" s="37"/>
      <c r="K87" s="37"/>
    </row>
    <row r="88" spans="5:11" ht="12.75">
      <c r="E88" s="25"/>
      <c r="G88" s="20"/>
      <c r="H88" s="36"/>
      <c r="I88" s="36"/>
      <c r="J88" s="36"/>
      <c r="K88" s="36"/>
    </row>
    <row r="89" spans="1:11" ht="12.75">
      <c r="A89" s="101" t="s">
        <v>118</v>
      </c>
      <c r="B89" s="18"/>
      <c r="C89" s="18"/>
      <c r="D89" s="18"/>
      <c r="E89" s="26">
        <f>SUM(E65:E88)</f>
        <v>128.88</v>
      </c>
      <c r="F89" s="46"/>
      <c r="G89" s="110" t="s">
        <v>118</v>
      </c>
      <c r="H89" s="18"/>
      <c r="I89" s="18"/>
      <c r="J89" s="18"/>
      <c r="K89" s="10">
        <f>SUM(K75:K88)</f>
        <v>0</v>
      </c>
    </row>
    <row r="90" spans="1:11" ht="12.75">
      <c r="A90" s="1"/>
      <c r="E90" s="26"/>
      <c r="F90" s="10"/>
      <c r="G90" s="39"/>
      <c r="H90" s="36"/>
      <c r="I90" s="36"/>
      <c r="J90" s="36"/>
      <c r="K90" s="46"/>
    </row>
    <row r="91" spans="1:11" ht="12.75">
      <c r="A91" s="111" t="s">
        <v>119</v>
      </c>
      <c r="E91" s="26">
        <f>(E56+E89)</f>
        <v>235.079836425</v>
      </c>
      <c r="F91" s="46"/>
      <c r="G91" s="112" t="s">
        <v>119</v>
      </c>
      <c r="H91" s="36"/>
      <c r="I91" s="36"/>
      <c r="J91" s="36"/>
      <c r="K91" s="46">
        <f>(K56+K89)</f>
        <v>0</v>
      </c>
    </row>
    <row r="92" spans="1:11" ht="12.75">
      <c r="A92" s="111"/>
      <c r="E92" s="113"/>
      <c r="F92" s="36"/>
      <c r="G92" s="112"/>
      <c r="H92" s="36"/>
      <c r="I92" s="36"/>
      <c r="J92" s="36"/>
      <c r="K92" s="36"/>
    </row>
    <row r="93" spans="1:11" ht="12.75">
      <c r="A93" s="114" t="s">
        <v>120</v>
      </c>
      <c r="E93" s="26">
        <f>(E21-E56)</f>
        <v>929.700163575</v>
      </c>
      <c r="F93" s="46"/>
      <c r="G93" s="115" t="s">
        <v>120</v>
      </c>
      <c r="H93" s="36"/>
      <c r="I93" s="36"/>
      <c r="J93" s="36"/>
      <c r="K93" s="46">
        <f>(K21-K56)</f>
        <v>0</v>
      </c>
    </row>
    <row r="94" spans="1:11" ht="12.75">
      <c r="A94" s="1"/>
      <c r="E94" s="46"/>
      <c r="F94" s="116"/>
      <c r="G94" s="1"/>
      <c r="K94" s="46"/>
    </row>
    <row r="95" spans="1:11" ht="12.75">
      <c r="A95" s="111" t="s">
        <v>121</v>
      </c>
      <c r="B95" s="102"/>
      <c r="C95" s="102"/>
      <c r="D95" s="102"/>
      <c r="E95" s="109">
        <f>(E21-E91)</f>
        <v>800.8201635750002</v>
      </c>
      <c r="F95" s="59"/>
      <c r="G95" s="111" t="s">
        <v>121</v>
      </c>
      <c r="K95" s="109">
        <f>(K21-K91)</f>
        <v>0</v>
      </c>
    </row>
    <row r="96" spans="1:11" s="12" customFormat="1" ht="12.75">
      <c r="A96" s="1"/>
      <c r="B96" s="2"/>
      <c r="C96" s="2"/>
      <c r="D96" s="2"/>
      <c r="E96" s="46"/>
      <c r="F96" s="116"/>
      <c r="G96" s="1"/>
      <c r="H96" s="2"/>
      <c r="I96" s="2"/>
      <c r="J96" s="2"/>
      <c r="K96" s="46"/>
    </row>
    <row r="97" spans="1:11" ht="12.75">
      <c r="A97" s="1" t="s">
        <v>122</v>
      </c>
      <c r="B97" s="2" t="s">
        <v>123</v>
      </c>
      <c r="E97" s="26">
        <f>E91/C19</f>
        <v>62.687956379999996</v>
      </c>
      <c r="F97" s="116"/>
      <c r="G97" s="1" t="s">
        <v>122</v>
      </c>
      <c r="H97" s="2" t="s">
        <v>123</v>
      </c>
      <c r="K97" s="46" t="e">
        <f>K91/I19</f>
        <v>#DIV/0!</v>
      </c>
    </row>
    <row r="98" spans="1:12" ht="12.75">
      <c r="A98" s="1"/>
      <c r="E98" s="46"/>
      <c r="F98" s="10"/>
      <c r="G98" s="22"/>
      <c r="K98" s="46"/>
      <c r="L98" s="56"/>
    </row>
    <row r="99" spans="1:12" ht="12.75">
      <c r="A99" s="1"/>
      <c r="E99" s="46"/>
      <c r="F99" s="10"/>
      <c r="G99" s="22"/>
      <c r="K99" s="46"/>
      <c r="L99" s="56"/>
    </row>
    <row r="100" ht="14.25">
      <c r="A100" s="11" t="s">
        <v>34</v>
      </c>
    </row>
    <row r="102" ht="14.25">
      <c r="A102" s="11" t="s">
        <v>32</v>
      </c>
    </row>
    <row r="103" ht="12.75">
      <c r="A103" s="12" t="s">
        <v>134</v>
      </c>
    </row>
    <row r="104" ht="12.75">
      <c r="A104" s="12" t="s">
        <v>135</v>
      </c>
    </row>
    <row r="106" ht="14.25">
      <c r="A106" s="11" t="s">
        <v>84</v>
      </c>
    </row>
    <row r="107" ht="12.75">
      <c r="A107" s="12" t="s">
        <v>110</v>
      </c>
    </row>
    <row r="109" ht="14.25">
      <c r="A109" s="11" t="s">
        <v>37</v>
      </c>
    </row>
    <row r="110" ht="12.75">
      <c r="A110" s="12" t="s">
        <v>71</v>
      </c>
    </row>
    <row r="111" ht="12.75">
      <c r="A111" s="12"/>
    </row>
    <row r="112" spans="1:11" ht="14.25">
      <c r="A112" s="14" t="s">
        <v>77</v>
      </c>
      <c r="B112" s="49"/>
      <c r="C112" s="49"/>
      <c r="D112" s="49"/>
      <c r="E112" s="53"/>
      <c r="F112" s="49"/>
      <c r="G112" s="49"/>
      <c r="H112" s="15"/>
      <c r="I112" s="15"/>
      <c r="J112" s="15"/>
      <c r="K112" s="28"/>
    </row>
    <row r="113" spans="1:11" ht="12.75">
      <c r="A113" s="50" t="s">
        <v>73</v>
      </c>
      <c r="B113" s="49"/>
      <c r="C113" s="49"/>
      <c r="D113" s="49"/>
      <c r="E113" s="53"/>
      <c r="F113" s="49"/>
      <c r="G113" s="49"/>
      <c r="H113" s="15"/>
      <c r="I113" s="15"/>
      <c r="J113" s="15"/>
      <c r="K113" s="28"/>
    </row>
    <row r="114" spans="1:11" ht="12.75">
      <c r="A114" s="50" t="s">
        <v>72</v>
      </c>
      <c r="B114" s="49"/>
      <c r="C114" s="49"/>
      <c r="D114" s="49"/>
      <c r="E114" s="53"/>
      <c r="F114" s="49"/>
      <c r="G114" s="49"/>
      <c r="H114" s="15"/>
      <c r="I114" s="15"/>
      <c r="J114" s="15"/>
      <c r="K114" s="28"/>
    </row>
    <row r="115" spans="1:11" ht="12.75">
      <c r="A115" s="60" t="s">
        <v>131</v>
      </c>
      <c r="C115" s="49"/>
      <c r="D115" s="49"/>
      <c r="E115" s="53"/>
      <c r="F115" s="49"/>
      <c r="G115" s="49"/>
      <c r="H115" s="15"/>
      <c r="I115" s="15"/>
      <c r="J115" s="15"/>
      <c r="K115" s="28"/>
    </row>
    <row r="116" ht="14.25">
      <c r="A116" s="11"/>
    </row>
    <row r="117" spans="1:11" ht="14.25">
      <c r="A117" s="14" t="s">
        <v>78</v>
      </c>
      <c r="B117" s="15"/>
      <c r="C117" s="15"/>
      <c r="D117" s="15"/>
      <c r="E117" s="28" t="s">
        <v>38</v>
      </c>
      <c r="F117" s="15"/>
      <c r="G117" s="15"/>
      <c r="H117" s="15"/>
      <c r="I117" s="15"/>
      <c r="J117" s="15"/>
      <c r="K117" s="16"/>
    </row>
    <row r="119" ht="14.25">
      <c r="A119" s="11" t="s">
        <v>79</v>
      </c>
    </row>
    <row r="121" ht="14.25">
      <c r="A121" s="11" t="s">
        <v>80</v>
      </c>
    </row>
    <row r="122" ht="14.25">
      <c r="A122" s="11"/>
    </row>
    <row r="123" spans="1:10" ht="12.75">
      <c r="A123" s="12" t="s">
        <v>132</v>
      </c>
      <c r="F123" s="3"/>
      <c r="G123" s="1"/>
      <c r="H123"/>
      <c r="I123"/>
      <c r="J123"/>
    </row>
    <row r="124" ht="12.75">
      <c r="A124" s="12"/>
    </row>
    <row r="125" ht="12.75">
      <c r="A125" s="12" t="s">
        <v>133</v>
      </c>
    </row>
    <row r="126" ht="12.75">
      <c r="A126" t="s">
        <v>61</v>
      </c>
    </row>
    <row r="127" ht="14.25">
      <c r="A127" s="11"/>
    </row>
    <row r="130" ht="12.75"/>
    <row r="131" ht="12.75"/>
    <row r="132" ht="12.75"/>
    <row r="133" ht="12.75"/>
    <row r="134" ht="12.75"/>
    <row r="135" ht="12.75"/>
    <row r="136" ht="12.75"/>
  </sheetData>
  <sheetProtection password="C610" sheet="1"/>
  <hyperlinks>
    <hyperlink ref="A115" r:id="rId1" display="  Wisconsin's 2010 Custom Rate Guide.  "/>
  </hyperlinks>
  <printOptions/>
  <pageMargins left="0.75" right="0.75" top="1" bottom="1" header="0.5" footer="0.5"/>
  <pageSetup orientation="landscape" scale="49" r:id="rId3"/>
  <rowBreaks count="1" manualBreakCount="1">
    <brk id="59" max="10" man="1"/>
  </rowBreaks>
  <ignoredErrors>
    <ignoredError sqref="I37" unlockedFormula="1"/>
    <ignoredError sqref="K58 K97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P35"/>
  <sheetViews>
    <sheetView zoomScale="85" zoomScaleNormal="85" zoomScalePageLayoutView="0" workbookViewId="0" topLeftCell="A1">
      <selection activeCell="A7" sqref="A7"/>
    </sheetView>
  </sheetViews>
  <sheetFormatPr defaultColWidth="9.140625" defaultRowHeight="12.75"/>
  <cols>
    <col min="1" max="1" width="10.8515625" style="0" customWidth="1"/>
    <col min="2" max="2" width="13.28125" style="0" customWidth="1"/>
    <col min="3" max="3" width="9.00390625" style="0" customWidth="1"/>
    <col min="4" max="8" width="10.28125" style="0" customWidth="1"/>
    <col min="10" max="10" width="12.7109375" style="0" customWidth="1"/>
    <col min="11" max="17" width="10.28125" style="0" customWidth="1"/>
  </cols>
  <sheetData>
    <row r="3" ht="12.75" customHeight="1">
      <c r="G3" s="61"/>
    </row>
    <row r="6" ht="15.75">
      <c r="A6" s="30" t="s">
        <v>130</v>
      </c>
    </row>
    <row r="7" ht="12.75">
      <c r="A7" s="1"/>
    </row>
    <row r="8" ht="12.75">
      <c r="A8" s="1"/>
    </row>
    <row r="9" spans="5:14" ht="15.75">
      <c r="E9" s="118" t="s">
        <v>62</v>
      </c>
      <c r="F9" s="118"/>
      <c r="M9" s="118" t="s">
        <v>63</v>
      </c>
      <c r="N9" s="118"/>
    </row>
    <row r="11" spans="3:16" ht="12.75">
      <c r="C11" s="1"/>
      <c r="D11" s="1"/>
      <c r="E11" s="119" t="s">
        <v>99</v>
      </c>
      <c r="F11" s="119"/>
      <c r="G11" s="1"/>
      <c r="H11" s="1"/>
      <c r="K11" s="1"/>
      <c r="L11" s="1"/>
      <c r="M11" s="119" t="s">
        <v>99</v>
      </c>
      <c r="N11" s="119"/>
      <c r="O11" s="1"/>
      <c r="P11" s="1"/>
    </row>
    <row r="12" spans="3:16" ht="12.75">
      <c r="C12" s="1" t="s">
        <v>125</v>
      </c>
      <c r="D12" s="1"/>
      <c r="E12" s="1"/>
      <c r="F12" s="1"/>
      <c r="G12" s="1"/>
      <c r="H12" s="1"/>
      <c r="K12" s="1" t="s">
        <v>93</v>
      </c>
      <c r="L12" s="1"/>
      <c r="M12" s="1"/>
      <c r="N12" s="1"/>
      <c r="O12" s="1"/>
      <c r="P12" s="1"/>
    </row>
    <row r="15" spans="4:16" ht="13.5" thickBot="1">
      <c r="D15" s="62">
        <v>-0.2</v>
      </c>
      <c r="E15" s="62">
        <v>-0.1</v>
      </c>
      <c r="F15" s="18" t="s">
        <v>4</v>
      </c>
      <c r="G15" s="63" t="s">
        <v>94</v>
      </c>
      <c r="H15" s="63" t="s">
        <v>95</v>
      </c>
      <c r="L15" s="62">
        <v>-0.2</v>
      </c>
      <c r="M15" s="62">
        <v>-0.1</v>
      </c>
      <c r="N15" s="18" t="s">
        <v>4</v>
      </c>
      <c r="O15" s="63" t="s">
        <v>94</v>
      </c>
      <c r="P15" s="63" t="s">
        <v>95</v>
      </c>
    </row>
    <row r="16" spans="1:16" ht="13.5" thickBot="1">
      <c r="A16" s="64"/>
      <c r="D16" s="65">
        <f>ROUND((F16*0.8),2)</f>
        <v>220.99</v>
      </c>
      <c r="E16" s="66">
        <f>ROUND((F16*0.9),2)</f>
        <v>248.62</v>
      </c>
      <c r="F16" s="66">
        <f>Budget!D19</f>
        <v>276.24</v>
      </c>
      <c r="G16" s="66">
        <f>ROUND((F16*1.1),2)</f>
        <v>303.86</v>
      </c>
      <c r="H16" s="67">
        <f>ROUND((F16*1.2),2)</f>
        <v>331.49</v>
      </c>
      <c r="L16" s="65">
        <f>ROUND((N16*0.8),2)</f>
        <v>0</v>
      </c>
      <c r="M16" s="66">
        <f>ROUND((N16*0.9),2)</f>
        <v>0</v>
      </c>
      <c r="N16" s="66">
        <f>Budget!J19</f>
        <v>0</v>
      </c>
      <c r="O16" s="66">
        <f>ROUND((N16*1.1),2)</f>
        <v>0</v>
      </c>
      <c r="P16" s="67">
        <f>ROUND((N16*1.2),2)</f>
        <v>0</v>
      </c>
    </row>
    <row r="17" spans="1:16" ht="12.75">
      <c r="A17" s="64"/>
      <c r="B17" s="68">
        <v>-0.2</v>
      </c>
      <c r="C17" s="69">
        <f>(0.8*C19)</f>
        <v>3</v>
      </c>
      <c r="D17" s="70">
        <f>(D16*C17)-Budget!E91</f>
        <v>427.89016357500003</v>
      </c>
      <c r="E17" s="71">
        <f>(E16*C17)-Budget!E91</f>
        <v>510.780163575</v>
      </c>
      <c r="F17" s="72">
        <f>(F16*C17)-Budget!E91</f>
        <v>593.6401635750001</v>
      </c>
      <c r="G17" s="72">
        <f>(G16*C17)-Budget!E91</f>
        <v>676.500163575</v>
      </c>
      <c r="H17" s="73">
        <f>(H16*C17)-Budget!E91</f>
        <v>759.3901635750001</v>
      </c>
      <c r="J17" s="68">
        <v>-0.2</v>
      </c>
      <c r="K17" s="69">
        <f>(0.8*K19)</f>
        <v>0</v>
      </c>
      <c r="L17" s="70">
        <f>(L16*K17)-Budget!K91</f>
        <v>0</v>
      </c>
      <c r="M17" s="71">
        <f>(M16*K17)-Budget!K91</f>
        <v>0</v>
      </c>
      <c r="N17" s="72">
        <f>(N16*K17)-Budget!K91</f>
        <v>0</v>
      </c>
      <c r="O17" s="72">
        <f>(O16*K17)-Budget!K91</f>
        <v>0</v>
      </c>
      <c r="P17" s="73">
        <f>(P16*K17)-Budget!K91</f>
        <v>0</v>
      </c>
    </row>
    <row r="18" spans="1:16" ht="12.75">
      <c r="A18" s="4"/>
      <c r="B18" s="68">
        <v>-0.1</v>
      </c>
      <c r="C18" s="74">
        <f>(0.9*C19)</f>
        <v>3.375</v>
      </c>
      <c r="D18" s="75">
        <f>(D16*C18)-Budget!E91</f>
        <v>510.76141357500006</v>
      </c>
      <c r="E18" s="72">
        <f>(E16*C18)-Budget!E91</f>
        <v>604.012663575</v>
      </c>
      <c r="F18" s="72">
        <f>(F16*C18)-Budget!E91</f>
        <v>697.230163575</v>
      </c>
      <c r="G18" s="72">
        <f>(G16*C18)-Budget!E91</f>
        <v>790.4476635750002</v>
      </c>
      <c r="H18" s="76">
        <f>(H16*C18)-Budget!E91</f>
        <v>883.698913575</v>
      </c>
      <c r="J18" s="68">
        <v>-0.1</v>
      </c>
      <c r="K18" s="74">
        <f>(0.9*K19)</f>
        <v>0</v>
      </c>
      <c r="L18" s="75">
        <f>(L16*K18)-Budget!K91</f>
        <v>0</v>
      </c>
      <c r="M18" s="72">
        <f>(M16*K18)-Budget!K91</f>
        <v>0</v>
      </c>
      <c r="N18" s="72">
        <f>(N16*K18)-Budget!K91</f>
        <v>0</v>
      </c>
      <c r="O18" s="72">
        <f>(O16*K18)-Budget!K91</f>
        <v>0</v>
      </c>
      <c r="P18" s="76">
        <f>(P16*K18)-Budget!K91</f>
        <v>0</v>
      </c>
    </row>
    <row r="19" spans="1:16" ht="12.75">
      <c r="A19" s="64"/>
      <c r="B19" s="6" t="s">
        <v>96</v>
      </c>
      <c r="C19" s="74">
        <f>Budget!C19</f>
        <v>3.75</v>
      </c>
      <c r="D19" s="75">
        <f>(D16*C19)-Budget!E91</f>
        <v>593.6326635750002</v>
      </c>
      <c r="E19" s="72">
        <f>(E16*C19)-Budget!E91</f>
        <v>697.2451635750001</v>
      </c>
      <c r="F19" s="72">
        <f>(F16*C19)-Budget!E91</f>
        <v>800.8201635750002</v>
      </c>
      <c r="G19" s="72">
        <f>(G16*C19)-Budget!E91</f>
        <v>904.3951635750002</v>
      </c>
      <c r="H19" s="76">
        <f>(H16*C19)-Budget!E91</f>
        <v>1008.0076635750002</v>
      </c>
      <c r="J19" s="6" t="s">
        <v>96</v>
      </c>
      <c r="K19" s="74">
        <f>Budget!I19</f>
        <v>0</v>
      </c>
      <c r="L19" s="75">
        <f>(L16*K19)-Budget!K91</f>
        <v>0</v>
      </c>
      <c r="M19" s="72">
        <f>(M16*K19)-Budget!K91</f>
        <v>0</v>
      </c>
      <c r="N19" s="72">
        <f>(N16*K19)-Budget!K91</f>
        <v>0</v>
      </c>
      <c r="O19" s="72">
        <f>(O16*K19)-Budget!K91</f>
        <v>0</v>
      </c>
      <c r="P19" s="76">
        <f>(P16*K19)-Budget!K91</f>
        <v>0</v>
      </c>
    </row>
    <row r="20" spans="1:16" ht="12.75">
      <c r="A20" s="64"/>
      <c r="B20" s="77" t="s">
        <v>94</v>
      </c>
      <c r="C20" s="74">
        <f>(1.1*C19)</f>
        <v>4.125</v>
      </c>
      <c r="D20" s="75">
        <f>(D16*C20)-Budget!E91</f>
        <v>676.5039135750001</v>
      </c>
      <c r="E20" s="72">
        <f>(E16*C20)-Budget!E91</f>
        <v>790.4776635750002</v>
      </c>
      <c r="F20" s="72">
        <f>(F16*C20)-Budget!E91</f>
        <v>904.4101635750001</v>
      </c>
      <c r="G20" s="72">
        <f>(G16*C20)-Budget!E91</f>
        <v>1018.3426635750002</v>
      </c>
      <c r="H20" s="76">
        <f>(H16*C20)-Budget!E91</f>
        <v>1132.316413575</v>
      </c>
      <c r="J20" s="77" t="s">
        <v>94</v>
      </c>
      <c r="K20" s="74">
        <f>(1.1*K19)</f>
        <v>0</v>
      </c>
      <c r="L20" s="75">
        <f>(L16*K20)-Budget!K91</f>
        <v>0</v>
      </c>
      <c r="M20" s="72">
        <f>(M16*K20)-Budget!K91</f>
        <v>0</v>
      </c>
      <c r="N20" s="72">
        <f>(N16*K20)-Budget!K91</f>
        <v>0</v>
      </c>
      <c r="O20" s="72">
        <f>(O16*K20)-Budget!K91</f>
        <v>0</v>
      </c>
      <c r="P20" s="76">
        <f>(P16*K20)-Budget!K91</f>
        <v>0</v>
      </c>
    </row>
    <row r="21" spans="2:16" ht="13.5" thickBot="1">
      <c r="B21" s="68" t="s">
        <v>95</v>
      </c>
      <c r="C21" s="78">
        <f>(1.2*C19)</f>
        <v>4.5</v>
      </c>
      <c r="D21" s="79">
        <f>(D16*C21)-Budget!E91</f>
        <v>759.375163575</v>
      </c>
      <c r="E21" s="80">
        <f>(E16*C21)-Budget!E91</f>
        <v>883.710163575</v>
      </c>
      <c r="F21" s="80">
        <f>(F16*C21)-Budget!E91</f>
        <v>1008.000163575</v>
      </c>
      <c r="G21" s="80">
        <f>(G16*C21)-Budget!E91</f>
        <v>1132.2901635750002</v>
      </c>
      <c r="H21" s="81">
        <f>(H16*C21)-Budget!E91</f>
        <v>1256.625163575</v>
      </c>
      <c r="J21" s="68" t="s">
        <v>95</v>
      </c>
      <c r="K21" s="78">
        <f>(1.2*K19)</f>
        <v>0</v>
      </c>
      <c r="L21" s="79">
        <f>(L16*K21)-Budget!K91</f>
        <v>0</v>
      </c>
      <c r="M21" s="80">
        <f>(M16*K21)-Budget!K91</f>
        <v>0</v>
      </c>
      <c r="N21" s="80">
        <f>(N16*K21)-Budget!K91</f>
        <v>0</v>
      </c>
      <c r="O21" s="80">
        <f>(O16*K21)-Budget!K91</f>
        <v>0</v>
      </c>
      <c r="P21" s="81">
        <f>(P16*K21)-Budget!K91</f>
        <v>0</v>
      </c>
    </row>
    <row r="26" spans="3:14" ht="12.75">
      <c r="C26" s="1"/>
      <c r="D26" s="1"/>
      <c r="E26" s="119" t="s">
        <v>98</v>
      </c>
      <c r="F26" s="119"/>
      <c r="K26" s="1"/>
      <c r="L26" s="1"/>
      <c r="M26" s="119" t="s">
        <v>98</v>
      </c>
      <c r="N26" s="119"/>
    </row>
    <row r="27" spans="3:14" ht="12.75">
      <c r="C27" s="1" t="s">
        <v>124</v>
      </c>
      <c r="D27" s="1"/>
      <c r="E27" s="1"/>
      <c r="F27" s="1"/>
      <c r="K27" s="1" t="s">
        <v>97</v>
      </c>
      <c r="L27" s="1"/>
      <c r="M27" s="1"/>
      <c r="N27" s="1"/>
    </row>
    <row r="29" spans="4:16" ht="13.5" thickBot="1">
      <c r="D29" s="62">
        <v>-0.2</v>
      </c>
      <c r="E29" s="62">
        <v>-0.1</v>
      </c>
      <c r="F29" s="18" t="s">
        <v>4</v>
      </c>
      <c r="G29" s="63" t="s">
        <v>94</v>
      </c>
      <c r="H29" s="63" t="s">
        <v>95</v>
      </c>
      <c r="L29" s="62">
        <v>-0.2</v>
      </c>
      <c r="M29" s="62">
        <v>-0.1</v>
      </c>
      <c r="N29" s="18" t="s">
        <v>4</v>
      </c>
      <c r="O29" s="63" t="s">
        <v>94</v>
      </c>
      <c r="P29" s="63" t="s">
        <v>95</v>
      </c>
    </row>
    <row r="30" spans="4:16" ht="13.5" thickBot="1">
      <c r="D30" s="82">
        <f>ROUND((F30*0.8),2)</f>
        <v>220.99</v>
      </c>
      <c r="E30" s="83">
        <f>ROUND((F30*0.9),2)</f>
        <v>248.62</v>
      </c>
      <c r="F30" s="83">
        <f>Budget!D19</f>
        <v>276.24</v>
      </c>
      <c r="G30" s="84">
        <f>ROUND((F30*1.1),2)</f>
        <v>303.86</v>
      </c>
      <c r="H30" s="67">
        <f>ROUND((F30*1.2),2)</f>
        <v>331.49</v>
      </c>
      <c r="L30" s="82">
        <f>ROUND((N30*0.8),2)</f>
        <v>0</v>
      </c>
      <c r="M30" s="83">
        <f>ROUND((N30*0.9),2)</f>
        <v>0</v>
      </c>
      <c r="N30" s="83">
        <f>Budget!J19</f>
        <v>0</v>
      </c>
      <c r="O30" s="84">
        <f>ROUND((N30*1.1),2)</f>
        <v>0</v>
      </c>
      <c r="P30" s="67">
        <f>ROUND((N30*1.2),2)</f>
        <v>0</v>
      </c>
    </row>
    <row r="31" spans="2:16" ht="12.75">
      <c r="B31" s="68">
        <v>-0.2</v>
      </c>
      <c r="C31" s="85">
        <f>(0.8*C33)</f>
        <v>188.06386914</v>
      </c>
      <c r="D31" s="86">
        <f>(C31/D30)</f>
        <v>0.8510062407348749</v>
      </c>
      <c r="E31" s="87">
        <f>(C31/E30)</f>
        <v>0.7564309755450085</v>
      </c>
      <c r="F31" s="87">
        <f>(C31/F30)</f>
        <v>0.6807988312337099</v>
      </c>
      <c r="G31" s="87">
        <f>(C31/G30)</f>
        <v>0.6189161756730073</v>
      </c>
      <c r="H31" s="88">
        <f>(C31/H30)</f>
        <v>0.5673289364385049</v>
      </c>
      <c r="J31" s="68">
        <v>-0.2</v>
      </c>
      <c r="K31" s="85">
        <f>(0.8*K33)</f>
        <v>0</v>
      </c>
      <c r="L31" s="86" t="e">
        <f>(K31/L30)</f>
        <v>#DIV/0!</v>
      </c>
      <c r="M31" s="87" t="e">
        <f>(K31/M30)</f>
        <v>#DIV/0!</v>
      </c>
      <c r="N31" s="87" t="e">
        <f>(K31/N30)</f>
        <v>#DIV/0!</v>
      </c>
      <c r="O31" s="87" t="e">
        <f>(K31/O30)</f>
        <v>#DIV/0!</v>
      </c>
      <c r="P31" s="88" t="e">
        <f>(K31/P30)</f>
        <v>#DIV/0!</v>
      </c>
    </row>
    <row r="32" spans="2:16" ht="12.75">
      <c r="B32" s="68">
        <v>-0.1</v>
      </c>
      <c r="C32" s="89">
        <f>(0.9*C33)</f>
        <v>211.5718527825</v>
      </c>
      <c r="D32" s="90">
        <f>(C32/D30)</f>
        <v>0.9573820208267342</v>
      </c>
      <c r="E32" s="91">
        <f>(C32/E30)</f>
        <v>0.8509848474881345</v>
      </c>
      <c r="F32" s="91">
        <f>(C32/F30)</f>
        <v>0.7658986851379235</v>
      </c>
      <c r="G32" s="91">
        <f>(C32/G30)</f>
        <v>0.6962806976321332</v>
      </c>
      <c r="H32" s="92">
        <f>(C32/H30)</f>
        <v>0.6382450534933181</v>
      </c>
      <c r="J32" s="68">
        <v>-0.1</v>
      </c>
      <c r="K32" s="89">
        <f>(0.9*K33)</f>
        <v>0</v>
      </c>
      <c r="L32" s="90" t="e">
        <f>(K32/L30)</f>
        <v>#DIV/0!</v>
      </c>
      <c r="M32" s="91" t="e">
        <f>(K32/M30)</f>
        <v>#DIV/0!</v>
      </c>
      <c r="N32" s="91" t="e">
        <f>(K32/N30)</f>
        <v>#DIV/0!</v>
      </c>
      <c r="O32" s="91" t="e">
        <f>(K32/O30)</f>
        <v>#DIV/0!</v>
      </c>
      <c r="P32" s="92" t="e">
        <f>(K32/P30)</f>
        <v>#DIV/0!</v>
      </c>
    </row>
    <row r="33" spans="2:16" ht="12.75">
      <c r="B33" s="6" t="s">
        <v>20</v>
      </c>
      <c r="C33" s="89">
        <f>Budget!E91</f>
        <v>235.079836425</v>
      </c>
      <c r="D33" s="90">
        <f>(C33/D30)</f>
        <v>1.0637578009185935</v>
      </c>
      <c r="E33" s="91">
        <f>(C33/E30)</f>
        <v>0.9455387194312606</v>
      </c>
      <c r="F33" s="91">
        <f>(C33/F30)</f>
        <v>0.8509985390421372</v>
      </c>
      <c r="G33" s="91">
        <f>(C33/G30)</f>
        <v>0.7736452195912591</v>
      </c>
      <c r="H33" s="92">
        <f>(C33/H30)</f>
        <v>0.7091611705481311</v>
      </c>
      <c r="J33" s="6" t="s">
        <v>20</v>
      </c>
      <c r="K33" s="89">
        <f>Budget!K91</f>
        <v>0</v>
      </c>
      <c r="L33" s="90" t="e">
        <f>(K33/L30)</f>
        <v>#DIV/0!</v>
      </c>
      <c r="M33" s="91" t="e">
        <f>(K33/M30)</f>
        <v>#DIV/0!</v>
      </c>
      <c r="N33" s="91" t="e">
        <f>(K33/N30)</f>
        <v>#DIV/0!</v>
      </c>
      <c r="O33" s="91" t="e">
        <f>(K33/O30)</f>
        <v>#DIV/0!</v>
      </c>
      <c r="P33" s="92" t="e">
        <f>(K33/P30)</f>
        <v>#DIV/0!</v>
      </c>
    </row>
    <row r="34" spans="2:16" ht="12.75">
      <c r="B34" s="77" t="s">
        <v>94</v>
      </c>
      <c r="C34" s="89">
        <f>(1.1*C33)</f>
        <v>258.5878200675</v>
      </c>
      <c r="D34" s="90">
        <f>(C34/D30)</f>
        <v>1.170133581010453</v>
      </c>
      <c r="E34" s="91">
        <f>(C34/E30)</f>
        <v>1.0400925913743866</v>
      </c>
      <c r="F34" s="91">
        <f>(C34/F30)</f>
        <v>0.9360983929463509</v>
      </c>
      <c r="G34" s="91">
        <f>(C34/G30)</f>
        <v>0.851009741550385</v>
      </c>
      <c r="H34" s="92">
        <f>(C34/H30)</f>
        <v>0.7800772876029443</v>
      </c>
      <c r="J34" s="77" t="s">
        <v>94</v>
      </c>
      <c r="K34" s="89">
        <f>(1.1*K33)</f>
        <v>0</v>
      </c>
      <c r="L34" s="90" t="e">
        <f>(K34/L30)</f>
        <v>#DIV/0!</v>
      </c>
      <c r="M34" s="91" t="e">
        <f>(K34/M30)</f>
        <v>#DIV/0!</v>
      </c>
      <c r="N34" s="91" t="e">
        <f>(K34/N30)</f>
        <v>#DIV/0!</v>
      </c>
      <c r="O34" s="91" t="e">
        <f>(K34/O30)</f>
        <v>#DIV/0!</v>
      </c>
      <c r="P34" s="92" t="e">
        <f>(K34/P30)</f>
        <v>#DIV/0!</v>
      </c>
    </row>
    <row r="35" spans="2:16" ht="13.5" thickBot="1">
      <c r="B35" s="68" t="s">
        <v>95</v>
      </c>
      <c r="C35" s="93">
        <f>(1.2*C33)</f>
        <v>282.09580371</v>
      </c>
      <c r="D35" s="94">
        <f>(C35/D30)</f>
        <v>1.2765093611023122</v>
      </c>
      <c r="E35" s="95">
        <f>(C35/E30)</f>
        <v>1.1346464633175126</v>
      </c>
      <c r="F35" s="95">
        <f>(C35/F30)</f>
        <v>1.0211982468505647</v>
      </c>
      <c r="G35" s="95">
        <f>(C35/G30)</f>
        <v>0.9283742635095109</v>
      </c>
      <c r="H35" s="96">
        <f>(C35/H30)</f>
        <v>0.8509934046577573</v>
      </c>
      <c r="J35" s="68" t="s">
        <v>95</v>
      </c>
      <c r="K35" s="93">
        <f>(1.2*K33)</f>
        <v>0</v>
      </c>
      <c r="L35" s="94" t="e">
        <f>(K35/L30)</f>
        <v>#DIV/0!</v>
      </c>
      <c r="M35" s="95" t="e">
        <f>(K35/M30)</f>
        <v>#DIV/0!</v>
      </c>
      <c r="N35" s="95" t="e">
        <f>(K35/N30)</f>
        <v>#DIV/0!</v>
      </c>
      <c r="O35" s="95" t="e">
        <f>(K35/O30)</f>
        <v>#DIV/0!</v>
      </c>
      <c r="P35" s="96" t="e">
        <f>(K35/P30)</f>
        <v>#DIV/0!</v>
      </c>
    </row>
  </sheetData>
  <sheetProtection password="C610" sheet="1"/>
  <mergeCells count="6">
    <mergeCell ref="M9:N9"/>
    <mergeCell ref="E9:F9"/>
    <mergeCell ref="M11:N11"/>
    <mergeCell ref="M26:N26"/>
    <mergeCell ref="E26:F26"/>
    <mergeCell ref="E11:F11"/>
  </mergeCells>
  <printOptions/>
  <pageMargins left="0.75" right="0.75" top="1" bottom="1" header="0.5" footer="0.5"/>
  <pageSetup orientation="portrait" r:id="rId2"/>
  <ignoredErrors>
    <ignoredError sqref="G15:H15 B20:B21 B34:B35 J34:J35 J20:J21 O15:P15 O29:P29 G29:H29" numberStoredAsText="1"/>
    <ignoredError sqref="L31:P35" evalErro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I29"/>
  <sheetViews>
    <sheetView zoomScale="85" zoomScaleNormal="85" zoomScalePageLayoutView="0" workbookViewId="0" topLeftCell="A1">
      <selection activeCell="L24" sqref="L24"/>
    </sheetView>
  </sheetViews>
  <sheetFormatPr defaultColWidth="9.140625" defaultRowHeight="12.75"/>
  <cols>
    <col min="1" max="1" width="17.57421875" style="0" customWidth="1"/>
    <col min="2" max="2" width="28.28125" style="0" customWidth="1"/>
    <col min="3" max="3" width="13.140625" style="0" customWidth="1"/>
  </cols>
  <sheetData>
    <row r="8" spans="1:4" ht="15.75">
      <c r="A8" s="30" t="s">
        <v>130</v>
      </c>
      <c r="B8" s="31"/>
      <c r="C8" s="51"/>
      <c r="D8" s="51"/>
    </row>
    <row r="9" spans="1:4" ht="15.75">
      <c r="A9" s="30" t="s">
        <v>75</v>
      </c>
      <c r="B9" s="31"/>
      <c r="C9" s="51"/>
      <c r="D9" s="51"/>
    </row>
    <row r="10" spans="1:4" ht="15">
      <c r="A10" s="51"/>
      <c r="B10" s="51"/>
      <c r="C10" s="51"/>
      <c r="D10" s="51"/>
    </row>
    <row r="11" spans="1:9" ht="12.75">
      <c r="A11" s="18" t="s">
        <v>42</v>
      </c>
      <c r="B11" s="18" t="s">
        <v>43</v>
      </c>
      <c r="C11" s="18" t="s">
        <v>44</v>
      </c>
      <c r="D11" s="18" t="s">
        <v>45</v>
      </c>
      <c r="E11" s="18" t="s">
        <v>46</v>
      </c>
      <c r="F11" s="18" t="s">
        <v>47</v>
      </c>
      <c r="G11" s="18" t="s">
        <v>48</v>
      </c>
      <c r="H11" s="18" t="s">
        <v>49</v>
      </c>
      <c r="I11" s="18" t="s">
        <v>50</v>
      </c>
    </row>
    <row r="12" spans="1:9" ht="12.75">
      <c r="A12" s="18"/>
      <c r="B12" s="18"/>
      <c r="C12" s="18"/>
      <c r="D12" s="18"/>
      <c r="E12" s="18"/>
      <c r="F12" s="18"/>
      <c r="G12" s="18"/>
      <c r="H12" s="18" t="s">
        <v>51</v>
      </c>
      <c r="I12" s="18" t="s">
        <v>52</v>
      </c>
    </row>
    <row r="14" spans="1:9" ht="12.75">
      <c r="A14" t="s">
        <v>53</v>
      </c>
      <c r="C14" s="117">
        <v>0.02</v>
      </c>
      <c r="D14" s="117">
        <v>0.02</v>
      </c>
      <c r="E14" s="117">
        <v>0.09</v>
      </c>
      <c r="F14" s="117">
        <v>0.11</v>
      </c>
      <c r="G14" s="117">
        <v>0.01</v>
      </c>
      <c r="H14" s="3">
        <v>0.17</v>
      </c>
      <c r="I14" s="19">
        <f>SUM(C14:G14)/H14</f>
        <v>1.4705882352941175</v>
      </c>
    </row>
    <row r="15" spans="1:9" ht="12.75">
      <c r="A15" t="s">
        <v>54</v>
      </c>
      <c r="C15" s="117">
        <v>0.18</v>
      </c>
      <c r="D15" s="117">
        <v>0.12</v>
      </c>
      <c r="E15" s="117">
        <v>0.55</v>
      </c>
      <c r="F15" s="117">
        <v>0.48</v>
      </c>
      <c r="G15" s="117">
        <v>0.04</v>
      </c>
      <c r="H15" s="3">
        <v>1</v>
      </c>
      <c r="I15" s="19">
        <f>SUM(C15:G15)*H15</f>
        <v>1.37</v>
      </c>
    </row>
    <row r="16" spans="1:9" ht="12.75">
      <c r="A16" t="s">
        <v>55</v>
      </c>
      <c r="B16" t="s">
        <v>56</v>
      </c>
      <c r="C16" s="117">
        <v>0.57</v>
      </c>
      <c r="D16" s="117">
        <v>0.35</v>
      </c>
      <c r="E16" s="117">
        <v>1.37</v>
      </c>
      <c r="F16" s="117">
        <v>0.72</v>
      </c>
      <c r="G16" s="117">
        <v>0.14</v>
      </c>
      <c r="H16" s="3">
        <v>0.33</v>
      </c>
      <c r="I16" s="19">
        <f aca="true" t="shared" si="0" ref="I16:I22">SUM(C16:G16)/H16</f>
        <v>9.545454545454545</v>
      </c>
    </row>
    <row r="17" spans="1:9" ht="12.75">
      <c r="A17" t="s">
        <v>57</v>
      </c>
      <c r="B17" t="s">
        <v>128</v>
      </c>
      <c r="C17" s="117">
        <v>0.96</v>
      </c>
      <c r="D17" s="117">
        <v>0.63</v>
      </c>
      <c r="E17" s="117">
        <v>0.42</v>
      </c>
      <c r="F17" s="117">
        <v>0.46</v>
      </c>
      <c r="G17" s="117">
        <v>0.15</v>
      </c>
      <c r="H17" s="3">
        <v>0.33</v>
      </c>
      <c r="I17" s="19">
        <f t="shared" si="0"/>
        <v>7.939393939393938</v>
      </c>
    </row>
    <row r="18" spans="1:9" ht="12.75">
      <c r="A18" t="s">
        <v>55</v>
      </c>
      <c r="B18" t="s">
        <v>82</v>
      </c>
      <c r="C18" s="117">
        <v>1.45</v>
      </c>
      <c r="D18" s="117">
        <v>0.52</v>
      </c>
      <c r="E18" s="117">
        <v>1.33</v>
      </c>
      <c r="F18" s="117">
        <v>1.04</v>
      </c>
      <c r="G18" s="117">
        <v>1.47</v>
      </c>
      <c r="H18" s="3">
        <v>0.33</v>
      </c>
      <c r="I18" s="19">
        <f t="shared" si="0"/>
        <v>17.606060606060606</v>
      </c>
    </row>
    <row r="19" spans="1:9" ht="12.75">
      <c r="A19" t="s">
        <v>55</v>
      </c>
      <c r="B19" t="s">
        <v>58</v>
      </c>
      <c r="C19" s="117">
        <v>0.75</v>
      </c>
      <c r="D19" s="117">
        <v>0.35</v>
      </c>
      <c r="E19" s="117">
        <v>1.14</v>
      </c>
      <c r="F19" s="117">
        <v>0.48</v>
      </c>
      <c r="G19" s="117">
        <v>0.41</v>
      </c>
      <c r="H19" s="3">
        <v>0.33</v>
      </c>
      <c r="I19" s="19">
        <f t="shared" si="0"/>
        <v>9.484848484848486</v>
      </c>
    </row>
    <row r="20" spans="1:9" ht="12.75">
      <c r="A20" t="s">
        <v>54</v>
      </c>
      <c r="C20" s="117">
        <v>0.35</v>
      </c>
      <c r="D20" s="117">
        <v>0.24</v>
      </c>
      <c r="E20" s="117">
        <v>1.1</v>
      </c>
      <c r="F20" s="117">
        <v>0.95</v>
      </c>
      <c r="G20" s="117">
        <v>0.09</v>
      </c>
      <c r="H20" s="3">
        <v>2</v>
      </c>
      <c r="I20" s="19">
        <f t="shared" si="0"/>
        <v>1.3649999999999998</v>
      </c>
    </row>
    <row r="21" spans="1:9" ht="12.75">
      <c r="A21" t="s">
        <v>54</v>
      </c>
      <c r="C21" s="117">
        <v>0.06</v>
      </c>
      <c r="D21" s="117">
        <v>0.04</v>
      </c>
      <c r="E21" s="117">
        <v>0.18</v>
      </c>
      <c r="F21" s="117">
        <v>0.16</v>
      </c>
      <c r="G21" s="117">
        <v>0.01</v>
      </c>
      <c r="H21" s="3">
        <v>0.33</v>
      </c>
      <c r="I21" s="19">
        <f t="shared" si="0"/>
        <v>1.3636363636363638</v>
      </c>
    </row>
    <row r="22" spans="1:9" ht="12.75">
      <c r="A22" t="s">
        <v>54</v>
      </c>
      <c r="B22" t="s">
        <v>127</v>
      </c>
      <c r="C22" s="117">
        <v>0.6</v>
      </c>
      <c r="D22" s="117">
        <v>0.2</v>
      </c>
      <c r="E22" s="117">
        <v>0.4</v>
      </c>
      <c r="F22" s="117">
        <v>0</v>
      </c>
      <c r="G22" s="117">
        <v>0.36</v>
      </c>
      <c r="H22" s="3">
        <v>0.33</v>
      </c>
      <c r="I22" s="19">
        <f t="shared" si="0"/>
        <v>4.7272727272727275</v>
      </c>
    </row>
    <row r="23" spans="1:9" ht="12.75">
      <c r="A23" t="s">
        <v>59</v>
      </c>
      <c r="C23" s="19"/>
      <c r="D23" s="19"/>
      <c r="E23" s="19"/>
      <c r="F23" s="19">
        <f>SUM(F14:F22)*0.15</f>
        <v>0.66</v>
      </c>
      <c r="G23" s="19"/>
      <c r="H23" s="19"/>
      <c r="I23" s="19">
        <f>SUM(C23:G23)</f>
        <v>0.66</v>
      </c>
    </row>
    <row r="24" spans="3:8" ht="12.75">
      <c r="C24" s="19"/>
      <c r="D24" s="19"/>
      <c r="E24" s="19"/>
      <c r="F24" s="19"/>
      <c r="G24" s="19"/>
      <c r="H24" s="19"/>
    </row>
    <row r="25" spans="1:9" ht="12.75">
      <c r="A25" t="s">
        <v>60</v>
      </c>
      <c r="C25" s="19">
        <f>SUM(C14:C23)</f>
        <v>4.939999999999999</v>
      </c>
      <c r="D25" s="19">
        <f>SUM(D14:D23)</f>
        <v>2.4700000000000006</v>
      </c>
      <c r="E25" s="19">
        <f>SUM(E14:E23)</f>
        <v>6.58</v>
      </c>
      <c r="F25" s="19">
        <f>SUM(F14:F23)</f>
        <v>5.0600000000000005</v>
      </c>
      <c r="G25" s="19">
        <f>SUM(G14:G23)</f>
        <v>2.6799999999999997</v>
      </c>
      <c r="H25" s="19"/>
      <c r="I25" s="19">
        <f>SUM(C25:G25)</f>
        <v>21.729999999999997</v>
      </c>
    </row>
    <row r="28" ht="12.75">
      <c r="A28" t="s">
        <v>90</v>
      </c>
    </row>
    <row r="29" ht="12.75">
      <c r="A29" t="s">
        <v>91</v>
      </c>
    </row>
  </sheetData>
  <sheetProtection password="C610" sheet="1"/>
  <printOptions/>
  <pageMargins left="0.75" right="0.75" top="1" bottom="1" header="0.5" footer="0.5"/>
  <pageSetup orientation="landscape" r:id="rId2"/>
  <ignoredErrors>
    <ignoredError sqref="I15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Wisconsin-Extension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Barnett</dc:creator>
  <cp:keywords/>
  <dc:description/>
  <cp:lastModifiedBy>Ken Barnett</cp:lastModifiedBy>
  <cp:lastPrinted>2007-09-13T16:22:51Z</cp:lastPrinted>
  <dcterms:created xsi:type="dcterms:W3CDTF">2006-06-24T15:43:23Z</dcterms:created>
  <dcterms:modified xsi:type="dcterms:W3CDTF">2013-04-01T15:21:34Z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