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<sst xmlns="http://schemas.openxmlformats.org/spreadsheetml/2006/main" count="273" uniqueCount="120">
  <si>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</si>
  <si>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</si>
  <si>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</si>
  <si>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</si>
  <si>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</si>
  <si>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</si>
  <si>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</si>
  <si>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</si>
  <si>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</si>
  <si>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</si>
  <si>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</si>
  <si>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</si>
  <si>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</si>
  <si>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</si>
  <si>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</si>
  <si>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</si>
  <si>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</si>
  <si>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</si>
  <si>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</si>
  <si>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</si>
  <si>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</si>
  <si>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</si>
  <si>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</si>
  <si>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</si>
  <si>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</si>
  <si>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</si>
  <si>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</si>
  <si>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</si>
  <si>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</si>
  <si>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</si>
  <si>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</si>
  <si>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</si>
  <si>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</si>
  <si>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</si>
  <si>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</si>
  <si>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</si>
  <si>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</si>
  <si>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</si>
  <si>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</si>
  <si>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</si>
  <si>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</si>
  <si>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</si>
  <si>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</si>
  <si>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</si>
  <si>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</si>
  <si>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</si>
  <si>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</si>
  <si>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</si>
  <si>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</si>
  <si>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</si>
  <si>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</si>
  <si>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</si>
  <si>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</si>
  <si>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</si>
  <si>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</si>
  <si>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</si>
  <si>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</si>
  <si>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</si>
  <si>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</si>
  <si>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</si>
  <si>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</si>
  <si>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</si>
  <si>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</si>
  <si>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</si>
  <si>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</si>
  <si>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</si>
  <si>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</si>
  <si>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</si>
  <si>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per Acre</t>
  </si>
  <si>
    <t>($/unit)</t>
  </si>
  <si>
    <t>Pest scouting - vegetables</t>
  </si>
  <si>
    <t>Plow, moldboard 08-18</t>
  </si>
  <si>
    <t>Tractor 060 HP</t>
  </si>
  <si>
    <t>Phosphorus 18-46-0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</si>
  <si>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</si>
  <si>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</si>
  <si>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</si>
  <si>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</si>
  <si>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</si>
  <si>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</si>
  <si>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</si>
  <si>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t>Custom fertilizer spreading</t>
  </si>
  <si>
    <t>Crop insurance</t>
  </si>
  <si>
    <t>lb</t>
  </si>
  <si>
    <t>Fertilizer spreading</t>
  </si>
  <si>
    <t>Irrigation - acre-ft</t>
  </si>
  <si>
    <t>acre-feet</t>
  </si>
  <si>
    <t>Risk Analyses</t>
  </si>
  <si>
    <t>Sensitvity Analysis</t>
  </si>
  <si>
    <t xml:space="preserve">   Labor Benefits</t>
  </si>
  <si>
    <t>Peas</t>
  </si>
  <si>
    <t>ton</t>
  </si>
  <si>
    <t>9-23-30 starter fertilizer</t>
  </si>
  <si>
    <t>Company harvested</t>
  </si>
  <si>
    <t>Total Operating Costs per Ton</t>
  </si>
  <si>
    <t>Total Cost per Ton</t>
  </si>
  <si>
    <t>$ per ton</t>
  </si>
  <si>
    <t>(Enter % in I79)</t>
  </si>
  <si>
    <t>Management charge (enter % of income in I91)</t>
  </si>
  <si>
    <t>Tractor 130 HP MFWD</t>
  </si>
  <si>
    <t>Sprayer 45 ft</t>
  </si>
  <si>
    <t>Pea seed - company furnished</t>
  </si>
  <si>
    <t>Company furnished</t>
  </si>
  <si>
    <t>pt</t>
  </si>
  <si>
    <t xml:space="preserve">  Wisconsin's 2010 Custom Rate Guide.  </t>
  </si>
  <si>
    <t>Basagran SC (40% of fields)</t>
  </si>
  <si>
    <t>APH - Peas 70%</t>
  </si>
  <si>
    <t>Pea seed</t>
  </si>
  <si>
    <r>
      <t xml:space="preserve">1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</si>
  <si>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Grower payment pool</t>
    </r>
    <r>
      <rPr>
        <vertAlign val="superscript"/>
        <sz val="10"/>
        <rFont val="Arial"/>
        <family val="2"/>
      </rPr>
      <t>2</t>
    </r>
  </si>
  <si>
    <t>Grower payment pool (enter % of income in I95)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</si>
  <si>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Payment pool contributed by growers for all payments made for unharvested suitable acres, abandoned acres, minimum return acres and unplanted acres under contract.</t>
    </r>
  </si>
  <si>
    <t>Company planted</t>
  </si>
  <si>
    <t>Tractor 160 HP MFWD</t>
  </si>
  <si>
    <t>This budget was developed with the Cost Accounting and Planning (CAP) software , version 2011.9.</t>
  </si>
  <si>
    <t>Cultivator, field 24 ft</t>
  </si>
  <si>
    <t>Peas processed irrigated budget for Wisconsin for 2014</t>
  </si>
  <si>
    <t>Developed by Ken Barnett, March 2014</t>
  </si>
  <si>
    <t xml:space="preserve">   Diesel Fuel (with WI tax credit)</t>
  </si>
  <si>
    <t xml:space="preserve">   Gasoline (with WI tax credit)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</si>
</sst>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7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4" fontId="0" fillId="0" borderId="36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132</xdr:row>
      <xdr:rowOff>9525</xdr:rowOff>
    </xdr:from>
    <xdr:to>
      <xdr:col>6</xdr:col>
      <xdr:colOff>771525</xdr:colOff>
      <xdr:row>140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16122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733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40</xdr:row>
      <xdr:rowOff>9525</xdr:rowOff>
    </xdr:from>
    <xdr:to>
      <xdr:col>9</xdr:col>
      <xdr:colOff>809625</xdr:colOff>
      <xdr:row>48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657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133350</xdr:rowOff>
    </xdr:from>
    <xdr:to>
      <xdr:col>5</xdr:col>
      <xdr:colOff>28575</xdr:colOff>
      <xdr:row>30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7719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0"/>
  <sheetViews>
    <sheetView tabSelected="1" zoomScale="75" zoomScaleNormal="75" zoomScalePageLayoutView="0" workbookViewId="0" topLeftCell="A1">
      <selection activeCell="P25" sqref="P25"/>
    </sheetView>
  </sheetViews>
  <sheetFormatPr defaultColWidth="9.140625" defaultRowHeight="12.75"/>
  <cols>
    <col min="1" max="1" width="40.8515625" style="0" customWidth="1"/>
    <col min="2" max="2" width="14.8515625" style="0" customWidth="1"/>
    <col min="3" max="3" width="11.8515625" style="92" customWidth="1"/>
    <col min="4" max="4" width="10.421875" style="92" customWidth="1"/>
    <col min="5" max="5" width="10.8515625" style="92" customWidth="1"/>
    <col min="6" max="6" width="3.140625" style="0" customWidth="1"/>
    <col min="7" max="7" width="46.00390625" style="0" customWidth="1"/>
    <col min="8" max="8" width="13.7109375" style="0" customWidth="1"/>
    <col min="9" max="9" width="11.421875" style="92" customWidth="1"/>
    <col min="10" max="10" width="9.8515625" style="92" customWidth="1"/>
    <col min="11" max="11" width="11.00390625" style="92" customWidth="1"/>
  </cols>
  <sheetData>
    <row r="6" spans="1:10" ht="18">
      <c r="A6" s="1" t="s">
        <v>116</v>
      </c>
      <c r="B6" s="2"/>
      <c r="C6" s="83"/>
      <c r="D6" s="83"/>
      <c r="E6" s="83"/>
      <c r="F6" s="2"/>
      <c r="J6" s="97"/>
    </row>
    <row r="7" spans="2:7" ht="12.75">
      <c r="B7" s="2"/>
      <c r="C7" s="83"/>
      <c r="D7" s="83"/>
      <c r="E7" s="83"/>
      <c r="F7" s="2"/>
      <c r="G7" s="3"/>
    </row>
    <row r="8" spans="1:7" ht="12.75">
      <c r="A8" s="3"/>
      <c r="B8" s="2"/>
      <c r="C8" s="83"/>
      <c r="D8" s="83"/>
      <c r="E8" s="83"/>
      <c r="F8" s="2"/>
      <c r="G8" s="3"/>
    </row>
    <row r="9" spans="1:7" ht="12.75">
      <c r="A9" s="3"/>
      <c r="B9" s="2"/>
      <c r="C9" s="83"/>
      <c r="D9" s="83"/>
      <c r="E9" s="83"/>
      <c r="F9" s="2"/>
      <c r="G9" s="3"/>
    </row>
    <row r="10" spans="1:7" ht="15.75">
      <c r="A10" s="4" t="s">
        <v>0</v>
      </c>
      <c r="B10" s="5"/>
      <c r="C10" s="84"/>
      <c r="D10" s="83"/>
      <c r="E10" s="83"/>
      <c r="F10" s="2"/>
      <c r="G10" s="6"/>
    </row>
    <row r="11" spans="1:7" ht="12.75">
      <c r="A11" s="6"/>
      <c r="B11" s="2"/>
      <c r="C11" s="83"/>
      <c r="D11" s="83"/>
      <c r="E11" s="83"/>
      <c r="F11" s="2"/>
      <c r="G11" s="6"/>
    </row>
    <row r="12" spans="1:7" ht="15.75">
      <c r="A12" s="7" t="s">
        <v>1</v>
      </c>
      <c r="B12" s="2"/>
      <c r="C12" s="83"/>
      <c r="D12" s="83"/>
      <c r="E12" s="83"/>
      <c r="F12" s="2"/>
      <c r="G12" s="7" t="s">
        <v>2</v>
      </c>
    </row>
    <row r="13" spans="1:7" ht="12.75">
      <c r="A13" s="6"/>
      <c r="B13" s="2"/>
      <c r="C13" s="83"/>
      <c r="D13" s="83"/>
      <c r="E13" s="83"/>
      <c r="F13" s="2"/>
      <c r="G13" s="6"/>
    </row>
    <row r="14" spans="1:11" ht="12.75">
      <c r="A14" s="8"/>
      <c r="B14" s="9" t="s">
        <v>3</v>
      </c>
      <c r="C14" s="85" t="s">
        <v>4</v>
      </c>
      <c r="D14" s="85" t="s">
        <v>5</v>
      </c>
      <c r="E14" s="86" t="s">
        <v>6</v>
      </c>
      <c r="F14" s="10"/>
      <c r="G14" s="11"/>
      <c r="H14" s="12" t="s">
        <v>3</v>
      </c>
      <c r="I14" s="85" t="s">
        <v>4</v>
      </c>
      <c r="J14" s="85" t="s">
        <v>5</v>
      </c>
      <c r="K14" s="85" t="s">
        <v>6</v>
      </c>
    </row>
    <row r="15" spans="1:11" ht="13.5" thickBot="1">
      <c r="A15" s="13"/>
      <c r="B15" s="14"/>
      <c r="C15" s="87" t="s">
        <v>68</v>
      </c>
      <c r="D15" s="87" t="s">
        <v>69</v>
      </c>
      <c r="E15" s="88" t="s">
        <v>7</v>
      </c>
      <c r="F15" s="10"/>
      <c r="G15" s="15"/>
      <c r="H15" s="16"/>
      <c r="I15" s="87" t="s">
        <v>68</v>
      </c>
      <c r="J15" s="87" t="s">
        <v>69</v>
      </c>
      <c r="K15" s="87" t="s">
        <v>7</v>
      </c>
    </row>
    <row r="16" spans="1:11" ht="12.75">
      <c r="A16" s="17"/>
      <c r="B16" s="18"/>
      <c r="C16" s="22"/>
      <c r="D16" s="22"/>
      <c r="E16" s="89"/>
      <c r="F16" s="19"/>
      <c r="H16" s="2"/>
      <c r="I16" s="83"/>
      <c r="J16" s="83"/>
      <c r="K16" s="83"/>
    </row>
    <row r="17" spans="1:11" ht="12.75">
      <c r="A17" s="20" t="s">
        <v>8</v>
      </c>
      <c r="B17" s="18"/>
      <c r="C17" s="22"/>
      <c r="D17" s="22"/>
      <c r="E17" s="89"/>
      <c r="F17" s="19"/>
      <c r="G17" s="21" t="s">
        <v>8</v>
      </c>
      <c r="H17" s="2"/>
      <c r="I17" s="83"/>
      <c r="J17" s="83"/>
      <c r="K17" s="83"/>
    </row>
    <row r="18" spans="1:11" ht="12.75">
      <c r="A18" s="17"/>
      <c r="B18" s="18"/>
      <c r="C18" s="22"/>
      <c r="D18" s="22"/>
      <c r="E18" s="89"/>
      <c r="F18" s="19"/>
      <c r="H18" s="2"/>
      <c r="I18" s="83"/>
      <c r="J18" s="83"/>
      <c r="K18" s="83"/>
    </row>
    <row r="19" spans="1:11" ht="12.75">
      <c r="A19" s="17" t="s">
        <v>90</v>
      </c>
      <c r="B19" s="18" t="s">
        <v>91</v>
      </c>
      <c r="C19" s="22">
        <v>2.5</v>
      </c>
      <c r="D19" s="22">
        <v>284.3</v>
      </c>
      <c r="E19" s="89">
        <f>(C19*D19)</f>
        <v>710.75</v>
      </c>
      <c r="F19" s="23"/>
      <c r="G19" s="17" t="s">
        <v>90</v>
      </c>
      <c r="H19" s="18" t="s">
        <v>91</v>
      </c>
      <c r="I19" s="98"/>
      <c r="J19" s="98"/>
      <c r="K19" s="83">
        <f>(I19*J19)</f>
        <v>0</v>
      </c>
    </row>
    <row r="20" spans="1:11" ht="12.75">
      <c r="A20" s="17"/>
      <c r="B20" s="18"/>
      <c r="C20" s="22"/>
      <c r="D20" s="22"/>
      <c r="E20" s="89"/>
      <c r="F20" s="23"/>
      <c r="H20" s="2"/>
      <c r="I20" s="83"/>
      <c r="J20" s="83"/>
      <c r="K20" s="83"/>
    </row>
    <row r="21" spans="1:11" ht="12.75">
      <c r="A21" s="17"/>
      <c r="B21" s="18"/>
      <c r="C21" s="22"/>
      <c r="D21" s="90" t="s">
        <v>9</v>
      </c>
      <c r="E21" s="89">
        <f>SUM(E19:E20)</f>
        <v>710.75</v>
      </c>
      <c r="F21" s="23"/>
      <c r="H21" s="2"/>
      <c r="I21" s="83"/>
      <c r="J21" s="99" t="s">
        <v>9</v>
      </c>
      <c r="K21" s="83">
        <f>SUM(K19:K20)</f>
        <v>0</v>
      </c>
    </row>
    <row r="22" spans="1:11" ht="12.75">
      <c r="A22" s="17"/>
      <c r="B22" s="18"/>
      <c r="C22" s="22"/>
      <c r="D22" s="22"/>
      <c r="E22" s="89"/>
      <c r="F22" s="19"/>
      <c r="H22" s="2"/>
      <c r="I22" s="83"/>
      <c r="J22" s="83"/>
      <c r="K22" s="83"/>
    </row>
    <row r="23" spans="1:11" ht="12.75">
      <c r="A23" s="20" t="s">
        <v>10</v>
      </c>
      <c r="B23" s="18"/>
      <c r="C23" s="22"/>
      <c r="D23" s="22"/>
      <c r="E23" s="89"/>
      <c r="F23" s="19"/>
      <c r="G23" s="21" t="s">
        <v>10</v>
      </c>
      <c r="H23" s="2"/>
      <c r="I23" s="83"/>
      <c r="J23" s="83"/>
      <c r="K23" s="83"/>
    </row>
    <row r="24" spans="1:11" ht="12.75">
      <c r="A24" s="20"/>
      <c r="B24" s="18"/>
      <c r="C24" s="22"/>
      <c r="D24" s="22"/>
      <c r="E24" s="89"/>
      <c r="F24" s="19"/>
      <c r="G24" s="21"/>
      <c r="H24" s="2"/>
      <c r="I24" s="83"/>
      <c r="J24" s="83"/>
      <c r="K24" s="83"/>
    </row>
    <row r="25" spans="1:11" ht="12.75">
      <c r="A25" s="28" t="s">
        <v>11</v>
      </c>
      <c r="B25" s="18"/>
      <c r="C25" s="22"/>
      <c r="D25" s="22"/>
      <c r="E25" s="89"/>
      <c r="F25" s="19"/>
      <c r="G25" s="3" t="s">
        <v>11</v>
      </c>
      <c r="H25" s="2"/>
      <c r="I25" s="83"/>
      <c r="J25" s="83"/>
      <c r="K25" s="83"/>
    </row>
    <row r="26" spans="1:11" ht="12.75">
      <c r="A26" s="28"/>
      <c r="B26" s="18"/>
      <c r="C26" s="22"/>
      <c r="D26" s="22"/>
      <c r="E26" s="89"/>
      <c r="F26" s="19"/>
      <c r="G26" s="3"/>
      <c r="H26" s="2"/>
      <c r="I26" s="83"/>
      <c r="J26" s="83"/>
      <c r="K26" s="83"/>
    </row>
    <row r="27" spans="1:11" ht="12.75">
      <c r="A27" s="28"/>
      <c r="B27" s="18"/>
      <c r="C27" s="22"/>
      <c r="D27" s="22"/>
      <c r="E27" s="89"/>
      <c r="F27" s="19"/>
      <c r="G27" s="3"/>
      <c r="H27" s="2"/>
      <c r="I27" s="83"/>
      <c r="J27" s="83"/>
      <c r="K27" s="83"/>
    </row>
    <row r="28" spans="1:11" ht="12.75">
      <c r="A28" s="29" t="s">
        <v>12</v>
      </c>
      <c r="B28" s="18"/>
      <c r="C28" s="22"/>
      <c r="D28" s="22"/>
      <c r="E28" s="89"/>
      <c r="F28" s="23"/>
      <c r="G28" s="30" t="s">
        <v>12</v>
      </c>
      <c r="H28" s="2"/>
      <c r="I28" s="83"/>
      <c r="J28" s="83"/>
      <c r="K28" s="83"/>
    </row>
    <row r="29" spans="1:11" ht="12.75" customHeight="1">
      <c r="A29" s="26" t="s">
        <v>13</v>
      </c>
      <c r="B29" s="31" t="s">
        <v>14</v>
      </c>
      <c r="C29" s="91">
        <v>35</v>
      </c>
      <c r="D29" s="110">
        <v>0.24</v>
      </c>
      <c r="E29" s="89">
        <f>(C29*D29)</f>
        <v>8.4</v>
      </c>
      <c r="F29" s="23"/>
      <c r="G29" s="27" t="s">
        <v>15</v>
      </c>
      <c r="H29" s="32" t="s">
        <v>14</v>
      </c>
      <c r="I29" s="98"/>
      <c r="J29" s="98"/>
      <c r="K29" s="83">
        <f>(I29*J29)</f>
        <v>0</v>
      </c>
    </row>
    <row r="30" spans="1:11" ht="12.75" customHeight="1">
      <c r="A30" s="26" t="s">
        <v>73</v>
      </c>
      <c r="B30" s="31" t="s">
        <v>14</v>
      </c>
      <c r="C30" s="91">
        <v>0</v>
      </c>
      <c r="D30" s="110">
        <v>0.27</v>
      </c>
      <c r="E30" s="89">
        <f>(C30*D30)</f>
        <v>0</v>
      </c>
      <c r="F30" s="23"/>
      <c r="G30" s="26" t="s">
        <v>73</v>
      </c>
      <c r="H30" s="32" t="s">
        <v>14</v>
      </c>
      <c r="I30" s="98"/>
      <c r="J30" s="98"/>
      <c r="K30" s="83">
        <f>(I30*J30)</f>
        <v>0</v>
      </c>
    </row>
    <row r="31" spans="1:11" ht="12.75" customHeight="1">
      <c r="A31" s="26" t="s">
        <v>16</v>
      </c>
      <c r="B31" s="31" t="s">
        <v>14</v>
      </c>
      <c r="C31" s="91">
        <v>0</v>
      </c>
      <c r="D31" s="110">
        <v>0.22</v>
      </c>
      <c r="E31" s="89">
        <f>(C31*D31)</f>
        <v>0</v>
      </c>
      <c r="F31" s="23"/>
      <c r="G31" s="27" t="s">
        <v>16</v>
      </c>
      <c r="H31" s="32" t="s">
        <v>14</v>
      </c>
      <c r="I31" s="98"/>
      <c r="J31" s="98"/>
      <c r="K31" s="83">
        <f>(I31*J31)</f>
        <v>0</v>
      </c>
    </row>
    <row r="32" spans="1:11" ht="12.75" customHeight="1">
      <c r="A32" s="26" t="s">
        <v>92</v>
      </c>
      <c r="B32" s="31" t="s">
        <v>14</v>
      </c>
      <c r="C32" s="91">
        <v>150</v>
      </c>
      <c r="D32" s="110">
        <v>0.24</v>
      </c>
      <c r="E32" s="89">
        <f>(C32*D32)</f>
        <v>36</v>
      </c>
      <c r="F32" s="23"/>
      <c r="G32" s="24"/>
      <c r="H32" s="24"/>
      <c r="I32" s="98"/>
      <c r="J32" s="98"/>
      <c r="K32" s="83">
        <f>(I32*J32)</f>
        <v>0</v>
      </c>
    </row>
    <row r="33" spans="1:11" ht="12.75" customHeight="1">
      <c r="A33" s="26"/>
      <c r="B33" s="31"/>
      <c r="C33" s="91"/>
      <c r="D33" s="91"/>
      <c r="E33" s="89"/>
      <c r="F33" s="23"/>
      <c r="G33" s="24"/>
      <c r="H33" s="24"/>
      <c r="I33" s="98"/>
      <c r="J33" s="98"/>
      <c r="K33" s="83">
        <f>(I33*J33)</f>
        <v>0</v>
      </c>
    </row>
    <row r="34" spans="1:11" ht="12.75">
      <c r="A34" s="26"/>
      <c r="B34" s="18"/>
      <c r="C34" s="22"/>
      <c r="D34" s="22"/>
      <c r="E34" s="89"/>
      <c r="F34" s="23"/>
      <c r="G34" s="27"/>
      <c r="H34" s="2"/>
      <c r="I34" s="83"/>
      <c r="J34" s="83"/>
      <c r="K34" s="83"/>
    </row>
    <row r="35" spans="1:11" ht="12.75">
      <c r="A35" s="29" t="s">
        <v>18</v>
      </c>
      <c r="B35" s="18"/>
      <c r="C35" s="22"/>
      <c r="D35" s="22"/>
      <c r="E35" s="89"/>
      <c r="F35" s="23"/>
      <c r="G35" s="30" t="s">
        <v>18</v>
      </c>
      <c r="H35" s="2"/>
      <c r="I35" s="83"/>
      <c r="J35" s="83"/>
      <c r="K35" s="83"/>
    </row>
    <row r="36" spans="1:11" ht="12.75">
      <c r="A36" s="26" t="s">
        <v>101</v>
      </c>
      <c r="B36" s="18" t="s">
        <v>17</v>
      </c>
      <c r="C36" s="22">
        <v>0</v>
      </c>
      <c r="D36" s="22">
        <v>0</v>
      </c>
      <c r="E36" s="89">
        <f>(C36*D36)</f>
        <v>0</v>
      </c>
      <c r="F36" s="23"/>
      <c r="G36" s="26" t="s">
        <v>107</v>
      </c>
      <c r="H36" s="18" t="s">
        <v>83</v>
      </c>
      <c r="I36" s="98"/>
      <c r="J36" s="98"/>
      <c r="K36" s="83">
        <f>(I36*J36)</f>
        <v>0</v>
      </c>
    </row>
    <row r="37" spans="1:11" ht="12.75">
      <c r="A37" s="26"/>
      <c r="B37" s="18"/>
      <c r="C37" s="22"/>
      <c r="D37" s="22"/>
      <c r="E37" s="89"/>
      <c r="F37" s="23"/>
      <c r="G37" s="27"/>
      <c r="H37" s="2"/>
      <c r="I37" s="83"/>
      <c r="J37" s="83"/>
      <c r="K37" s="83"/>
    </row>
    <row r="38" spans="1:11" ht="12.75">
      <c r="A38" s="29" t="s">
        <v>19</v>
      </c>
      <c r="B38" s="18"/>
      <c r="C38" s="22"/>
      <c r="D38" s="22"/>
      <c r="E38" s="89"/>
      <c r="F38" s="23"/>
      <c r="G38" s="30" t="s">
        <v>19</v>
      </c>
      <c r="H38" s="2"/>
      <c r="I38" s="83"/>
      <c r="J38" s="83"/>
      <c r="K38" s="83"/>
    </row>
    <row r="39" spans="1:11" ht="12.75">
      <c r="A39" s="133" t="s">
        <v>106</v>
      </c>
      <c r="B39" s="18" t="s">
        <v>17</v>
      </c>
      <c r="C39" s="22">
        <v>1</v>
      </c>
      <c r="D39" s="134">
        <v>15.66</v>
      </c>
      <c r="E39" s="89">
        <f aca="true" t="shared" si="0" ref="E39:E44">(C39*D39)</f>
        <v>15.66</v>
      </c>
      <c r="F39" s="23"/>
      <c r="G39" s="26" t="s">
        <v>82</v>
      </c>
      <c r="H39" s="18" t="s">
        <v>17</v>
      </c>
      <c r="I39" s="98"/>
      <c r="J39" s="98"/>
      <c r="K39" s="83">
        <f aca="true" t="shared" si="1" ref="K39:K44">(I39*J39)</f>
        <v>0</v>
      </c>
    </row>
    <row r="40" spans="1:11" ht="12.75">
      <c r="A40" s="135" t="s">
        <v>70</v>
      </c>
      <c r="B40" s="136" t="s">
        <v>17</v>
      </c>
      <c r="C40" s="134">
        <v>1</v>
      </c>
      <c r="D40" s="137">
        <v>20</v>
      </c>
      <c r="E40" s="89">
        <f t="shared" si="0"/>
        <v>20</v>
      </c>
      <c r="F40" s="23"/>
      <c r="G40" s="109" t="s">
        <v>70</v>
      </c>
      <c r="H40" s="18" t="s">
        <v>17</v>
      </c>
      <c r="I40" s="98"/>
      <c r="J40" s="98"/>
      <c r="K40" s="83">
        <f t="shared" si="1"/>
        <v>0</v>
      </c>
    </row>
    <row r="41" spans="1:11" ht="12.75">
      <c r="A41" s="27" t="s">
        <v>81</v>
      </c>
      <c r="B41" s="2" t="s">
        <v>17</v>
      </c>
      <c r="C41" s="25">
        <v>1</v>
      </c>
      <c r="D41" s="25">
        <v>5.86</v>
      </c>
      <c r="E41" s="125">
        <f t="shared" si="0"/>
        <v>5.86</v>
      </c>
      <c r="F41" s="126"/>
      <c r="G41" s="34" t="s">
        <v>84</v>
      </c>
      <c r="H41" s="2" t="s">
        <v>17</v>
      </c>
      <c r="I41" s="24"/>
      <c r="J41" s="24"/>
      <c r="K41" s="127">
        <f t="shared" si="1"/>
        <v>0</v>
      </c>
    </row>
    <row r="42" spans="1:11" ht="12.75">
      <c r="A42" s="133" t="s">
        <v>85</v>
      </c>
      <c r="B42" s="18" t="s">
        <v>86</v>
      </c>
      <c r="C42" s="22">
        <v>0.33</v>
      </c>
      <c r="D42" s="134">
        <v>141.62</v>
      </c>
      <c r="E42" s="89">
        <f t="shared" si="0"/>
        <v>46.7346</v>
      </c>
      <c r="F42" s="23"/>
      <c r="G42" s="26" t="s">
        <v>85</v>
      </c>
      <c r="H42" s="18" t="s">
        <v>86</v>
      </c>
      <c r="I42" s="98"/>
      <c r="J42" s="98"/>
      <c r="K42" s="83">
        <f t="shared" si="1"/>
        <v>0</v>
      </c>
    </row>
    <row r="43" spans="1:11" ht="12.75">
      <c r="A43" s="109" t="s">
        <v>112</v>
      </c>
      <c r="B43" s="18" t="s">
        <v>17</v>
      </c>
      <c r="C43" s="83">
        <v>1</v>
      </c>
      <c r="D43" s="83">
        <v>22</v>
      </c>
      <c r="E43" s="89">
        <f t="shared" si="0"/>
        <v>22</v>
      </c>
      <c r="F43" s="23"/>
      <c r="G43" s="24"/>
      <c r="H43" s="24"/>
      <c r="I43" s="98"/>
      <c r="J43" s="98"/>
      <c r="K43" s="83"/>
    </row>
    <row r="44" spans="1:11" ht="12.75">
      <c r="A44" s="26" t="s">
        <v>93</v>
      </c>
      <c r="B44" s="18" t="s">
        <v>17</v>
      </c>
      <c r="C44" s="83">
        <v>1</v>
      </c>
      <c r="D44" s="83">
        <v>0</v>
      </c>
      <c r="E44" s="89">
        <f t="shared" si="0"/>
        <v>0</v>
      </c>
      <c r="F44" s="23"/>
      <c r="G44" s="24"/>
      <c r="H44" s="24"/>
      <c r="I44" s="98"/>
      <c r="J44" s="98"/>
      <c r="K44" s="83">
        <f t="shared" si="1"/>
        <v>0</v>
      </c>
    </row>
    <row r="45" spans="1:11" ht="12.75">
      <c r="A45" s="26"/>
      <c r="B45" s="18"/>
      <c r="C45" s="83"/>
      <c r="D45" s="83"/>
      <c r="E45" s="89"/>
      <c r="F45" s="23"/>
      <c r="G45" s="27"/>
      <c r="H45" s="2"/>
      <c r="I45" s="83"/>
      <c r="J45" s="83"/>
      <c r="K45" s="83"/>
    </row>
    <row r="46" spans="1:11" ht="12.75">
      <c r="A46" s="29" t="s">
        <v>20</v>
      </c>
      <c r="B46" s="18"/>
      <c r="C46" s="22"/>
      <c r="D46" s="22"/>
      <c r="E46" s="89"/>
      <c r="F46" s="23"/>
      <c r="G46" s="30" t="s">
        <v>20</v>
      </c>
      <c r="H46" s="2"/>
      <c r="I46" s="83"/>
      <c r="J46" s="83"/>
      <c r="K46" s="83"/>
    </row>
    <row r="47" spans="1:11" ht="12.75">
      <c r="A47" s="27" t="s">
        <v>105</v>
      </c>
      <c r="B47" s="18" t="s">
        <v>103</v>
      </c>
      <c r="C47" s="22">
        <v>1.5</v>
      </c>
      <c r="D47" s="22">
        <v>11</v>
      </c>
      <c r="E47" s="89">
        <f>(C47*D47)*0.4</f>
        <v>6.6000000000000005</v>
      </c>
      <c r="F47" s="23"/>
      <c r="G47" s="24"/>
      <c r="H47" s="24"/>
      <c r="I47" s="98"/>
      <c r="J47" s="98"/>
      <c r="K47" s="83">
        <f>(I47*J47)</f>
        <v>0</v>
      </c>
    </row>
    <row r="48" spans="1:11" ht="12.75">
      <c r="A48" s="26"/>
      <c r="B48" s="18"/>
      <c r="C48" s="22"/>
      <c r="D48" s="22"/>
      <c r="E48" s="89"/>
      <c r="F48" s="23"/>
      <c r="G48" s="24"/>
      <c r="H48" s="24"/>
      <c r="I48" s="98"/>
      <c r="J48" s="98"/>
      <c r="K48" s="83">
        <f>(I48*J48)</f>
        <v>0</v>
      </c>
    </row>
    <row r="49" spans="1:11" ht="12.75">
      <c r="A49" s="26"/>
      <c r="B49" s="18"/>
      <c r="C49" s="22"/>
      <c r="D49" s="22"/>
      <c r="E49" s="89"/>
      <c r="F49" s="23"/>
      <c r="G49" s="24"/>
      <c r="H49" s="24"/>
      <c r="I49" s="98"/>
      <c r="J49" s="98"/>
      <c r="K49" s="83">
        <f>(I49*J49)</f>
        <v>0</v>
      </c>
    </row>
    <row r="50" spans="1:11" ht="12.75">
      <c r="A50" s="29"/>
      <c r="B50" s="18"/>
      <c r="C50" s="22"/>
      <c r="D50" s="22"/>
      <c r="E50" s="89"/>
      <c r="F50" s="23"/>
      <c r="G50" s="30"/>
      <c r="H50" s="2"/>
      <c r="I50" s="83"/>
      <c r="J50" s="83"/>
      <c r="K50" s="83"/>
    </row>
    <row r="51" spans="1:11" ht="12.75">
      <c r="A51" s="29" t="s">
        <v>21</v>
      </c>
      <c r="B51" s="18"/>
      <c r="C51" s="22"/>
      <c r="D51" s="22"/>
      <c r="E51" s="89"/>
      <c r="F51" s="23"/>
      <c r="G51" s="30" t="s">
        <v>21</v>
      </c>
      <c r="H51" s="2"/>
      <c r="I51" s="83"/>
      <c r="J51" s="83"/>
      <c r="K51" s="83"/>
    </row>
    <row r="52" spans="1:11" ht="12.75">
      <c r="A52" s="27" t="s">
        <v>102</v>
      </c>
      <c r="B52" s="18" t="s">
        <v>17</v>
      </c>
      <c r="C52" s="83">
        <v>1</v>
      </c>
      <c r="D52" s="83">
        <v>0</v>
      </c>
      <c r="E52" s="89">
        <f>(C52*D52)</f>
        <v>0</v>
      </c>
      <c r="F52" s="23"/>
      <c r="G52" s="24"/>
      <c r="H52" s="24"/>
      <c r="I52" s="98"/>
      <c r="J52" s="98"/>
      <c r="K52" s="83">
        <f>(I52*J52)</f>
        <v>0</v>
      </c>
    </row>
    <row r="53" spans="1:11" ht="12.75">
      <c r="A53" s="26"/>
      <c r="B53" s="18"/>
      <c r="C53" s="22"/>
      <c r="D53" s="22"/>
      <c r="E53" s="89"/>
      <c r="F53" s="23"/>
      <c r="G53" s="24"/>
      <c r="H53" s="24"/>
      <c r="I53" s="98"/>
      <c r="J53" s="98"/>
      <c r="K53" s="83">
        <f>(I53*J53)</f>
        <v>0</v>
      </c>
    </row>
    <row r="54" spans="1:11" ht="12.75">
      <c r="A54" s="26"/>
      <c r="B54" s="18"/>
      <c r="C54" s="22"/>
      <c r="D54" s="22"/>
      <c r="E54" s="89"/>
      <c r="F54" s="23"/>
      <c r="G54" s="24"/>
      <c r="H54" s="24"/>
      <c r="I54" s="98"/>
      <c r="J54" s="98"/>
      <c r="K54" s="83">
        <f>(I54*J54)</f>
        <v>0</v>
      </c>
    </row>
    <row r="55" spans="1:11" ht="12.75">
      <c r="A55" s="26"/>
      <c r="B55" s="18"/>
      <c r="C55" s="22"/>
      <c r="D55" s="22"/>
      <c r="E55" s="89"/>
      <c r="F55" s="23"/>
      <c r="G55" s="33"/>
      <c r="H55" s="33"/>
      <c r="I55" s="100"/>
      <c r="J55" s="100"/>
      <c r="K55" s="83"/>
    </row>
    <row r="56" spans="1:11" ht="12.75">
      <c r="A56" s="29" t="s">
        <v>22</v>
      </c>
      <c r="B56" s="18"/>
      <c r="C56" s="22"/>
      <c r="D56" s="22"/>
      <c r="E56" s="89"/>
      <c r="F56" s="23"/>
      <c r="G56" s="30" t="s">
        <v>22</v>
      </c>
      <c r="H56" s="2"/>
      <c r="I56" s="83"/>
      <c r="J56" s="83"/>
      <c r="K56" s="83"/>
    </row>
    <row r="57" spans="1:11" ht="12.75">
      <c r="A57" s="27" t="s">
        <v>102</v>
      </c>
      <c r="B57" s="18" t="s">
        <v>17</v>
      </c>
      <c r="C57" s="83">
        <v>1</v>
      </c>
      <c r="D57" s="83">
        <v>0</v>
      </c>
      <c r="E57" s="89">
        <f>(C57*D57)*6</f>
        <v>0</v>
      </c>
      <c r="F57" s="23"/>
      <c r="G57" s="24"/>
      <c r="H57" s="24"/>
      <c r="I57" s="98"/>
      <c r="J57" s="98"/>
      <c r="K57" s="83">
        <f>(I57*J57)</f>
        <v>0</v>
      </c>
    </row>
    <row r="58" spans="6:11" ht="12.75">
      <c r="F58" s="23"/>
      <c r="G58" s="24"/>
      <c r="H58" s="24"/>
      <c r="I58" s="98"/>
      <c r="J58" s="98"/>
      <c r="K58" s="83">
        <f>(I58*J58)</f>
        <v>0</v>
      </c>
    </row>
    <row r="59" spans="1:11" ht="12.75">
      <c r="A59" s="26"/>
      <c r="B59" s="18"/>
      <c r="C59" s="22"/>
      <c r="D59" s="22"/>
      <c r="E59" s="89"/>
      <c r="F59" s="23"/>
      <c r="G59" s="24"/>
      <c r="H59" s="24"/>
      <c r="I59" s="98"/>
      <c r="J59" s="98"/>
      <c r="K59" s="83">
        <f>(I59*J59)</f>
        <v>0</v>
      </c>
    </row>
    <row r="60" spans="1:11" ht="12.75">
      <c r="A60" s="29"/>
      <c r="B60" s="18"/>
      <c r="C60" s="22"/>
      <c r="D60" s="22"/>
      <c r="E60" s="89"/>
      <c r="F60" s="23"/>
      <c r="G60" s="30"/>
      <c r="H60" s="2"/>
      <c r="I60" s="83"/>
      <c r="J60" s="83"/>
      <c r="K60" s="83"/>
    </row>
    <row r="61" spans="1:11" ht="12.75">
      <c r="A61" s="30" t="s">
        <v>23</v>
      </c>
      <c r="B61" s="2" t="s">
        <v>24</v>
      </c>
      <c r="C61" s="94">
        <v>0</v>
      </c>
      <c r="D61" s="25">
        <v>10</v>
      </c>
      <c r="E61" s="93">
        <f>(C61*D61)</f>
        <v>0</v>
      </c>
      <c r="F61" s="23"/>
      <c r="G61" s="30" t="s">
        <v>23</v>
      </c>
      <c r="H61" s="2" t="s">
        <v>24</v>
      </c>
      <c r="I61" s="98"/>
      <c r="J61" s="98"/>
      <c r="K61" s="101">
        <f>(I61*J61)</f>
        <v>0</v>
      </c>
    </row>
    <row r="62" spans="1:11" ht="12.75">
      <c r="A62" s="29" t="s">
        <v>89</v>
      </c>
      <c r="B62" s="18"/>
      <c r="C62" s="22">
        <f>E61</f>
        <v>0</v>
      </c>
      <c r="D62" s="107">
        <v>0.0765</v>
      </c>
      <c r="E62" s="89">
        <f>(C62*D62)</f>
        <v>0</v>
      </c>
      <c r="F62" s="23"/>
      <c r="G62" s="30" t="s">
        <v>25</v>
      </c>
      <c r="H62" s="2"/>
      <c r="I62" s="22">
        <f>K61</f>
        <v>0</v>
      </c>
      <c r="J62" s="83">
        <v>0.0765</v>
      </c>
      <c r="K62" s="83">
        <f>(I62*J62)</f>
        <v>0</v>
      </c>
    </row>
    <row r="63" spans="1:11" ht="12.75">
      <c r="A63" s="29"/>
      <c r="B63" s="18"/>
      <c r="C63" s="22"/>
      <c r="D63" s="22"/>
      <c r="E63" s="89"/>
      <c r="F63" s="23"/>
      <c r="G63" s="30"/>
      <c r="H63" s="2"/>
      <c r="I63" s="83"/>
      <c r="J63" s="83"/>
      <c r="K63" s="83"/>
    </row>
    <row r="64" spans="1:11" ht="12.75">
      <c r="A64" s="29" t="s">
        <v>26</v>
      </c>
      <c r="B64" s="18"/>
      <c r="C64" s="22"/>
      <c r="D64" s="22"/>
      <c r="E64" s="89"/>
      <c r="F64" s="23"/>
      <c r="G64" s="30" t="s">
        <v>26</v>
      </c>
      <c r="H64" s="2"/>
      <c r="I64" s="83"/>
      <c r="J64" s="83"/>
      <c r="K64" s="83"/>
    </row>
    <row r="65" spans="1:11" ht="12.75">
      <c r="A65" s="38" t="s">
        <v>118</v>
      </c>
      <c r="B65" s="18" t="s">
        <v>28</v>
      </c>
      <c r="C65" s="22">
        <v>1.59</v>
      </c>
      <c r="D65" s="111">
        <v>3.52</v>
      </c>
      <c r="E65" s="89">
        <f>(C65*D65)</f>
        <v>5.5968</v>
      </c>
      <c r="F65" s="23"/>
      <c r="G65" s="30" t="s">
        <v>27</v>
      </c>
      <c r="H65" s="18" t="s">
        <v>28</v>
      </c>
      <c r="I65" s="98"/>
      <c r="J65" s="98"/>
      <c r="K65" s="83">
        <f>(I65*J65)</f>
        <v>0</v>
      </c>
    </row>
    <row r="66" spans="1:11" ht="12.75">
      <c r="A66" s="38" t="s">
        <v>119</v>
      </c>
      <c r="B66" s="18" t="s">
        <v>28</v>
      </c>
      <c r="C66" s="22">
        <v>0.05</v>
      </c>
      <c r="D66" s="111">
        <v>3.21</v>
      </c>
      <c r="E66" s="89">
        <f>(C66*D66)</f>
        <v>0.1605</v>
      </c>
      <c r="F66" s="23"/>
      <c r="G66" s="30" t="s">
        <v>29</v>
      </c>
      <c r="H66" s="18" t="s">
        <v>28</v>
      </c>
      <c r="I66" s="98"/>
      <c r="J66" s="98"/>
      <c r="K66" s="83">
        <f>(I66*J66)</f>
        <v>0</v>
      </c>
    </row>
    <row r="67" spans="1:11" ht="12.75">
      <c r="A67" s="29" t="s">
        <v>30</v>
      </c>
      <c r="B67" s="18" t="s">
        <v>31</v>
      </c>
      <c r="C67" s="22">
        <v>0</v>
      </c>
      <c r="D67" s="22">
        <v>0</v>
      </c>
      <c r="E67" s="89">
        <f>(C67*D67)</f>
        <v>0</v>
      </c>
      <c r="F67" s="23"/>
      <c r="G67" s="30" t="s">
        <v>30</v>
      </c>
      <c r="H67" s="2" t="s">
        <v>31</v>
      </c>
      <c r="I67" s="98"/>
      <c r="J67" s="98"/>
      <c r="K67" s="83">
        <f>(I67*J67)</f>
        <v>0</v>
      </c>
    </row>
    <row r="68" spans="1:11" ht="12.75">
      <c r="A68" s="29" t="s">
        <v>32</v>
      </c>
      <c r="B68" s="18" t="s">
        <v>17</v>
      </c>
      <c r="C68" s="22">
        <v>1</v>
      </c>
      <c r="D68" s="22">
        <f>(E65+E66)*0.15</f>
        <v>0.863595</v>
      </c>
      <c r="E68" s="89">
        <f>(C68*D68)</f>
        <v>0.863595</v>
      </c>
      <c r="F68" s="23"/>
      <c r="G68" s="30" t="s">
        <v>32</v>
      </c>
      <c r="H68" s="2" t="s">
        <v>17</v>
      </c>
      <c r="I68" s="98"/>
      <c r="J68" s="98"/>
      <c r="K68" s="83">
        <f>(I68*J68)</f>
        <v>0</v>
      </c>
    </row>
    <row r="69" spans="1:11" ht="12.75">
      <c r="A69" s="29"/>
      <c r="B69" s="18"/>
      <c r="C69" s="22"/>
      <c r="D69" s="22"/>
      <c r="E69" s="89"/>
      <c r="F69" s="23"/>
      <c r="G69" s="30"/>
      <c r="H69" s="2"/>
      <c r="I69" s="83"/>
      <c r="J69" s="83"/>
      <c r="K69" s="83"/>
    </row>
    <row r="70" spans="1:11" ht="12.75">
      <c r="A70" s="29" t="s">
        <v>33</v>
      </c>
      <c r="B70" s="18"/>
      <c r="C70" s="22"/>
      <c r="D70" s="22"/>
      <c r="E70" s="89"/>
      <c r="F70" s="19"/>
      <c r="G70" s="30" t="s">
        <v>33</v>
      </c>
      <c r="H70" s="2"/>
      <c r="I70" s="83"/>
      <c r="J70" s="83"/>
      <c r="K70" s="83"/>
    </row>
    <row r="71" spans="1:11" ht="12.75">
      <c r="A71" s="29" t="s">
        <v>34</v>
      </c>
      <c r="B71" s="18" t="s">
        <v>17</v>
      </c>
      <c r="C71" s="22">
        <v>1</v>
      </c>
      <c r="D71" s="22">
        <v>1.45</v>
      </c>
      <c r="E71" s="89">
        <f>(C71*D71)</f>
        <v>1.45</v>
      </c>
      <c r="F71" s="23"/>
      <c r="G71" s="30" t="s">
        <v>34</v>
      </c>
      <c r="H71" s="2" t="s">
        <v>17</v>
      </c>
      <c r="I71" s="98"/>
      <c r="J71" s="98"/>
      <c r="K71" s="83">
        <f>(I71*J71)</f>
        <v>0</v>
      </c>
    </row>
    <row r="72" spans="1:11" ht="12.75">
      <c r="A72" s="29" t="s">
        <v>35</v>
      </c>
      <c r="B72" s="18" t="s">
        <v>17</v>
      </c>
      <c r="C72" s="22">
        <v>1</v>
      </c>
      <c r="D72" s="22">
        <v>4.4</v>
      </c>
      <c r="E72" s="89">
        <f>(C72*D72)</f>
        <v>4.4</v>
      </c>
      <c r="F72" s="23"/>
      <c r="G72" s="30" t="s">
        <v>35</v>
      </c>
      <c r="H72" s="2" t="s">
        <v>17</v>
      </c>
      <c r="I72" s="98"/>
      <c r="J72" s="98"/>
      <c r="K72" s="83">
        <f>(I72*J72)</f>
        <v>0</v>
      </c>
    </row>
    <row r="73" spans="1:11" ht="12.75">
      <c r="A73" s="29" t="s">
        <v>36</v>
      </c>
      <c r="B73" s="18" t="s">
        <v>17</v>
      </c>
      <c r="C73" s="22">
        <v>0</v>
      </c>
      <c r="D73" s="22">
        <v>0</v>
      </c>
      <c r="E73" s="89">
        <f>(C73*D73)</f>
        <v>0</v>
      </c>
      <c r="F73" s="23"/>
      <c r="G73" s="30" t="s">
        <v>36</v>
      </c>
      <c r="H73" s="2" t="s">
        <v>17</v>
      </c>
      <c r="I73" s="98"/>
      <c r="J73" s="98"/>
      <c r="K73" s="83">
        <f>(I73*J73)</f>
        <v>0</v>
      </c>
    </row>
    <row r="74" spans="1:11" ht="12.75">
      <c r="A74" s="29"/>
      <c r="B74" s="18"/>
      <c r="C74" s="22"/>
      <c r="D74" s="22"/>
      <c r="E74" s="89"/>
      <c r="F74" s="23"/>
      <c r="G74" s="30"/>
      <c r="H74" s="2"/>
      <c r="I74" s="102"/>
      <c r="J74" s="102"/>
      <c r="K74" s="83"/>
    </row>
    <row r="75" spans="1:11" ht="14.25">
      <c r="A75" s="29"/>
      <c r="B75" s="18"/>
      <c r="C75" s="22"/>
      <c r="D75" s="22"/>
      <c r="E75" s="89"/>
      <c r="F75" s="23"/>
      <c r="G75" s="30" t="s">
        <v>80</v>
      </c>
      <c r="H75" s="2" t="s">
        <v>17</v>
      </c>
      <c r="I75" s="98"/>
      <c r="J75" s="98"/>
      <c r="K75" s="83">
        <f>(I75*J75)</f>
        <v>0</v>
      </c>
    </row>
    <row r="76" spans="1:11" ht="12.75">
      <c r="A76" s="29"/>
      <c r="B76" s="18"/>
      <c r="C76" s="22"/>
      <c r="D76" s="22"/>
      <c r="E76" s="89"/>
      <c r="F76" s="23"/>
      <c r="G76" s="30"/>
      <c r="H76" s="2"/>
      <c r="I76" s="83"/>
      <c r="J76" s="83"/>
      <c r="K76" s="83"/>
    </row>
    <row r="77" spans="1:11" ht="12.75">
      <c r="A77" s="26" t="s">
        <v>37</v>
      </c>
      <c r="B77" s="18"/>
      <c r="C77" s="22"/>
      <c r="D77" s="22"/>
      <c r="E77" s="89">
        <f>SUM(E29:E73)</f>
        <v>173.72549500000002</v>
      </c>
      <c r="F77" s="23"/>
      <c r="G77" s="27" t="s">
        <v>37</v>
      </c>
      <c r="H77" s="2"/>
      <c r="I77" s="83"/>
      <c r="J77" s="83"/>
      <c r="K77" s="83">
        <f>SUM(K29:K75)</f>
        <v>0</v>
      </c>
    </row>
    <row r="78" spans="1:11" ht="12.75">
      <c r="A78" s="29"/>
      <c r="B78" s="18"/>
      <c r="C78" s="22"/>
      <c r="D78" s="22"/>
      <c r="E78" s="89"/>
      <c r="F78" s="23"/>
      <c r="G78" s="30"/>
      <c r="H78" s="2"/>
      <c r="I78" s="83"/>
      <c r="J78" s="83"/>
      <c r="K78" s="83"/>
    </row>
    <row r="79" spans="1:11" ht="12.75">
      <c r="A79" s="26" t="s">
        <v>38</v>
      </c>
      <c r="B79" s="18" t="s">
        <v>17</v>
      </c>
      <c r="C79" s="22">
        <f>(E77)</f>
        <v>173.72549500000002</v>
      </c>
      <c r="D79" s="106">
        <v>0.0399</v>
      </c>
      <c r="E79" s="89">
        <f>(C79*D79)/2</f>
        <v>3.46582362525</v>
      </c>
      <c r="F79" s="23"/>
      <c r="G79" s="27" t="s">
        <v>38</v>
      </c>
      <c r="H79" s="2" t="s">
        <v>17</v>
      </c>
      <c r="I79" s="124"/>
      <c r="J79" s="103">
        <f>(K77)</f>
        <v>0</v>
      </c>
      <c r="K79" s="83">
        <f>(I79*J79)/2</f>
        <v>0</v>
      </c>
    </row>
    <row r="80" spans="1:11" ht="12.75">
      <c r="A80" s="26"/>
      <c r="B80" s="18"/>
      <c r="C80" s="22"/>
      <c r="D80" s="22"/>
      <c r="E80" s="89"/>
      <c r="F80" s="23"/>
      <c r="G80" s="34" t="s">
        <v>97</v>
      </c>
      <c r="H80" s="2"/>
      <c r="I80" s="102"/>
      <c r="J80" s="102"/>
      <c r="K80" s="83"/>
    </row>
    <row r="81" spans="1:11" ht="12.75">
      <c r="A81" s="26"/>
      <c r="B81" s="18"/>
      <c r="C81" s="22"/>
      <c r="D81" s="22"/>
      <c r="E81" s="89"/>
      <c r="F81" s="23"/>
      <c r="G81" s="27"/>
      <c r="H81" s="2"/>
      <c r="I81" s="83"/>
      <c r="J81" s="83"/>
      <c r="K81" s="83"/>
    </row>
    <row r="82" spans="1:11" ht="12.75">
      <c r="A82" s="112" t="s">
        <v>75</v>
      </c>
      <c r="B82" s="18"/>
      <c r="C82" s="111"/>
      <c r="D82" s="106"/>
      <c r="E82" s="113">
        <f>SUM(E77:E79)</f>
        <v>177.19131862525003</v>
      </c>
      <c r="F82" s="23"/>
      <c r="G82" s="112" t="s">
        <v>75</v>
      </c>
      <c r="H82" s="2"/>
      <c r="I82" s="25"/>
      <c r="J82" s="107"/>
      <c r="K82" s="114">
        <f>SUM(K77:K79)</f>
        <v>0</v>
      </c>
    </row>
    <row r="83" spans="1:11" ht="12.75">
      <c r="A83" s="26"/>
      <c r="B83" s="18"/>
      <c r="C83" s="111"/>
      <c r="D83" s="106"/>
      <c r="E83" s="115"/>
      <c r="F83" s="23"/>
      <c r="G83" s="116"/>
      <c r="H83" s="2"/>
      <c r="I83" s="25"/>
      <c r="J83" s="107"/>
      <c r="K83" s="114"/>
    </row>
    <row r="84" spans="1:11" ht="12.75">
      <c r="A84" s="112" t="s">
        <v>94</v>
      </c>
      <c r="B84" s="18"/>
      <c r="C84" s="111"/>
      <c r="D84" s="106"/>
      <c r="E84" s="117">
        <f>(E82/C19)</f>
        <v>70.87652745010001</v>
      </c>
      <c r="F84" s="23"/>
      <c r="G84" s="112" t="s">
        <v>94</v>
      </c>
      <c r="H84" s="18"/>
      <c r="I84" s="111"/>
      <c r="J84" s="106"/>
      <c r="K84" s="117" t="e">
        <f>(K82/I19)</f>
        <v>#DIV/0!</v>
      </c>
    </row>
    <row r="85" spans="1:11" ht="12.75">
      <c r="A85" s="29"/>
      <c r="B85" s="18"/>
      <c r="C85" s="22"/>
      <c r="D85" s="22"/>
      <c r="E85" s="89"/>
      <c r="F85" s="23"/>
      <c r="G85" s="30"/>
      <c r="H85" s="2"/>
      <c r="I85" s="83"/>
      <c r="J85" s="83"/>
      <c r="K85" s="83"/>
    </row>
    <row r="86" spans="1:11" ht="12.75">
      <c r="A86" s="20" t="s">
        <v>39</v>
      </c>
      <c r="B86" s="18"/>
      <c r="C86" s="22"/>
      <c r="D86" s="22"/>
      <c r="E86" s="89"/>
      <c r="F86" s="23"/>
      <c r="G86" s="21" t="s">
        <v>39</v>
      </c>
      <c r="H86" s="2"/>
      <c r="I86" s="83"/>
      <c r="J86" s="83"/>
      <c r="K86" s="83"/>
    </row>
    <row r="87" spans="1:11" ht="12.75">
      <c r="A87" s="29"/>
      <c r="B87" s="18"/>
      <c r="C87" s="22"/>
      <c r="D87" s="22"/>
      <c r="E87" s="89"/>
      <c r="F87" s="23"/>
      <c r="G87" s="30"/>
      <c r="H87" s="2"/>
      <c r="I87" s="83"/>
      <c r="J87" s="83"/>
      <c r="K87" s="83"/>
    </row>
    <row r="88" spans="1:11" ht="12.75">
      <c r="A88" s="17"/>
      <c r="B88" s="18" t="s">
        <v>3</v>
      </c>
      <c r="C88" s="22" t="s">
        <v>4</v>
      </c>
      <c r="D88" s="22" t="s">
        <v>5</v>
      </c>
      <c r="E88" s="89" t="s">
        <v>6</v>
      </c>
      <c r="F88" s="19"/>
      <c r="H88" s="2" t="s">
        <v>3</v>
      </c>
      <c r="I88" s="83" t="s">
        <v>4</v>
      </c>
      <c r="J88" s="83" t="s">
        <v>5</v>
      </c>
      <c r="K88" s="83" t="s">
        <v>6</v>
      </c>
    </row>
    <row r="89" spans="1:11" ht="12.75">
      <c r="A89" s="35"/>
      <c r="B89" s="18"/>
      <c r="C89" s="22" t="s">
        <v>68</v>
      </c>
      <c r="D89" s="22" t="s">
        <v>69</v>
      </c>
      <c r="E89" s="89" t="s">
        <v>7</v>
      </c>
      <c r="F89" s="19"/>
      <c r="G89" s="36"/>
      <c r="H89" s="2"/>
      <c r="I89" s="83" t="s">
        <v>68</v>
      </c>
      <c r="J89" s="83" t="s">
        <v>69</v>
      </c>
      <c r="K89" s="83" t="s">
        <v>7</v>
      </c>
    </row>
    <row r="90" spans="1:11" ht="12.75">
      <c r="A90" s="35"/>
      <c r="B90" s="18"/>
      <c r="C90" s="22"/>
      <c r="D90" s="22"/>
      <c r="E90" s="89"/>
      <c r="F90" s="23"/>
      <c r="G90" s="36"/>
      <c r="H90" s="2"/>
      <c r="I90" s="83"/>
      <c r="J90" s="83"/>
      <c r="K90" s="83"/>
    </row>
    <row r="91" spans="1:11" ht="12.75">
      <c r="A91" s="37" t="s">
        <v>74</v>
      </c>
      <c r="B91" s="18" t="s">
        <v>40</v>
      </c>
      <c r="C91" s="22">
        <v>0</v>
      </c>
      <c r="D91" s="22">
        <v>0</v>
      </c>
      <c r="E91" s="89">
        <f>(C91*D91)</f>
        <v>0</v>
      </c>
      <c r="F91" s="23"/>
      <c r="G91" s="38" t="s">
        <v>98</v>
      </c>
      <c r="H91" s="2" t="s">
        <v>40</v>
      </c>
      <c r="I91" s="98"/>
      <c r="J91" s="103">
        <f>(K21)</f>
        <v>0</v>
      </c>
      <c r="K91" s="83">
        <f>(I91*J91)</f>
        <v>0</v>
      </c>
    </row>
    <row r="92" spans="1:11" ht="12.75">
      <c r="A92" s="37"/>
      <c r="B92" s="18"/>
      <c r="C92" s="22"/>
      <c r="D92" s="22"/>
      <c r="E92" s="89"/>
      <c r="F92" s="23"/>
      <c r="G92" s="38"/>
      <c r="H92" s="2"/>
      <c r="I92" s="83"/>
      <c r="J92" s="83"/>
      <c r="K92" s="83"/>
    </row>
    <row r="93" spans="1:11" ht="12.75">
      <c r="A93" s="37" t="s">
        <v>41</v>
      </c>
      <c r="B93" s="18" t="s">
        <v>17</v>
      </c>
      <c r="C93" s="95">
        <v>1</v>
      </c>
      <c r="D93" s="95">
        <v>123.6</v>
      </c>
      <c r="E93" s="89">
        <f>(C93*D93)</f>
        <v>123.6</v>
      </c>
      <c r="F93" s="23"/>
      <c r="G93" s="38" t="s">
        <v>41</v>
      </c>
      <c r="H93" s="2" t="s">
        <v>17</v>
      </c>
      <c r="I93" s="98"/>
      <c r="J93" s="98"/>
      <c r="K93" s="83">
        <f>(I93*J93)</f>
        <v>0</v>
      </c>
    </row>
    <row r="94" spans="1:11" ht="12.75">
      <c r="A94" s="37"/>
      <c r="B94" s="18"/>
      <c r="C94" s="95"/>
      <c r="D94" s="95"/>
      <c r="E94" s="89"/>
      <c r="F94" s="23"/>
      <c r="G94" s="38"/>
      <c r="H94" s="2"/>
      <c r="I94" s="128"/>
      <c r="J94" s="100"/>
      <c r="K94" s="83"/>
    </row>
    <row r="95" spans="1:11" ht="14.25">
      <c r="A95" s="37" t="s">
        <v>109</v>
      </c>
      <c r="B95" s="18" t="s">
        <v>40</v>
      </c>
      <c r="C95" s="22">
        <v>4</v>
      </c>
      <c r="D95" s="22">
        <f>(E21)</f>
        <v>710.75</v>
      </c>
      <c r="E95" s="89">
        <f>(C95*D95)/100</f>
        <v>28.43</v>
      </c>
      <c r="F95" s="23"/>
      <c r="G95" s="37" t="s">
        <v>110</v>
      </c>
      <c r="H95" s="2" t="s">
        <v>40</v>
      </c>
      <c r="I95" s="98"/>
      <c r="J95" s="129">
        <f>(K21)</f>
        <v>0</v>
      </c>
      <c r="K95" s="83">
        <f>(I95*J95)/100</f>
        <v>0</v>
      </c>
    </row>
    <row r="96" spans="1:11" ht="12.75">
      <c r="A96" s="37"/>
      <c r="B96" s="18"/>
      <c r="C96" s="22"/>
      <c r="D96" s="22"/>
      <c r="E96" s="89"/>
      <c r="F96" s="23"/>
      <c r="G96" s="38"/>
      <c r="H96" s="2"/>
      <c r="I96" s="104"/>
      <c r="J96" s="131"/>
      <c r="K96" s="83"/>
    </row>
    <row r="97" spans="1:11" ht="12.75">
      <c r="A97" s="37" t="s">
        <v>42</v>
      </c>
      <c r="B97" s="18" t="s">
        <v>24</v>
      </c>
      <c r="C97" s="22">
        <v>0.31</v>
      </c>
      <c r="D97" s="22">
        <v>10</v>
      </c>
      <c r="E97" s="89">
        <f>(C97*D97)</f>
        <v>3.1</v>
      </c>
      <c r="F97" s="23"/>
      <c r="G97" s="38" t="s">
        <v>42</v>
      </c>
      <c r="H97" s="2" t="s">
        <v>24</v>
      </c>
      <c r="I97" s="98"/>
      <c r="J97" s="98"/>
      <c r="K97" s="83">
        <f>(I97*J97)</f>
        <v>0</v>
      </c>
    </row>
    <row r="98" spans="1:11" ht="12.75">
      <c r="A98" s="37"/>
      <c r="B98" s="18"/>
      <c r="C98" s="22"/>
      <c r="D98" s="22"/>
      <c r="E98" s="89"/>
      <c r="F98" s="23"/>
      <c r="G98" s="38"/>
      <c r="H98" s="2"/>
      <c r="I98" s="83"/>
      <c r="J98" s="83"/>
      <c r="K98" s="83"/>
    </row>
    <row r="99" spans="1:11" ht="12.75">
      <c r="A99" s="37" t="s">
        <v>43</v>
      </c>
      <c r="B99" s="18"/>
      <c r="C99" s="22"/>
      <c r="D99" s="22"/>
      <c r="E99" s="89"/>
      <c r="F99" s="23"/>
      <c r="G99" s="38" t="s">
        <v>43</v>
      </c>
      <c r="H99" s="2"/>
      <c r="I99" s="83"/>
      <c r="J99" s="83"/>
      <c r="K99" s="83"/>
    </row>
    <row r="100" spans="1:11" ht="12.75">
      <c r="A100" s="29" t="s">
        <v>34</v>
      </c>
      <c r="B100" s="18" t="s">
        <v>17</v>
      </c>
      <c r="C100" s="22">
        <v>1</v>
      </c>
      <c r="D100" s="22">
        <v>2.07</v>
      </c>
      <c r="E100" s="89">
        <f>(C100*D100)</f>
        <v>2.07</v>
      </c>
      <c r="F100" s="23"/>
      <c r="G100" s="30" t="s">
        <v>34</v>
      </c>
      <c r="H100" s="2" t="s">
        <v>17</v>
      </c>
      <c r="I100" s="98"/>
      <c r="J100" s="98"/>
      <c r="K100" s="83">
        <f>(I100*J100)</f>
        <v>0</v>
      </c>
    </row>
    <row r="101" spans="1:11" ht="12.75">
      <c r="A101" s="29" t="s">
        <v>35</v>
      </c>
      <c r="B101" s="18" t="s">
        <v>17</v>
      </c>
      <c r="C101" s="22">
        <v>1</v>
      </c>
      <c r="D101" s="22">
        <v>2.97</v>
      </c>
      <c r="E101" s="89">
        <f>(C101*D101)</f>
        <v>2.97</v>
      </c>
      <c r="F101" s="23"/>
      <c r="G101" s="30" t="s">
        <v>35</v>
      </c>
      <c r="H101" s="2" t="s">
        <v>17</v>
      </c>
      <c r="I101" s="98"/>
      <c r="J101" s="98"/>
      <c r="K101" s="83">
        <f>(I101*J101)</f>
        <v>0</v>
      </c>
    </row>
    <row r="102" spans="1:11" ht="12.75">
      <c r="A102" s="29" t="s">
        <v>36</v>
      </c>
      <c r="B102" s="18" t="s">
        <v>17</v>
      </c>
      <c r="C102" s="22">
        <v>0</v>
      </c>
      <c r="D102" s="22">
        <v>0</v>
      </c>
      <c r="E102" s="89">
        <f>(C102*D102)</f>
        <v>0</v>
      </c>
      <c r="F102" s="23"/>
      <c r="G102" s="30" t="s">
        <v>36</v>
      </c>
      <c r="H102" s="2" t="s">
        <v>17</v>
      </c>
      <c r="I102" s="98"/>
      <c r="J102" s="98"/>
      <c r="K102" s="83">
        <f>(I102*J102)</f>
        <v>0</v>
      </c>
    </row>
    <row r="103" spans="1:11" ht="12.75">
      <c r="A103" s="29"/>
      <c r="B103" s="18"/>
      <c r="C103" s="22"/>
      <c r="D103" s="22"/>
      <c r="E103" s="89"/>
      <c r="F103" s="23"/>
      <c r="G103" s="30"/>
      <c r="H103" s="2"/>
      <c r="I103" s="83"/>
      <c r="J103" s="83"/>
      <c r="K103" s="83"/>
    </row>
    <row r="104" spans="1:11" ht="12.75">
      <c r="A104" s="37" t="s">
        <v>44</v>
      </c>
      <c r="B104" s="18"/>
      <c r="C104" s="22"/>
      <c r="D104" s="22"/>
      <c r="E104" s="89"/>
      <c r="F104" s="23"/>
      <c r="G104" s="38" t="s">
        <v>44</v>
      </c>
      <c r="H104" s="2"/>
      <c r="I104" s="83"/>
      <c r="J104" s="83"/>
      <c r="K104" s="83"/>
    </row>
    <row r="105" spans="1:11" ht="12.75">
      <c r="A105" s="29" t="s">
        <v>34</v>
      </c>
      <c r="B105" s="18" t="s">
        <v>17</v>
      </c>
      <c r="C105" s="22">
        <v>1</v>
      </c>
      <c r="D105" s="22">
        <v>3.5</v>
      </c>
      <c r="E105" s="89">
        <f>(C105*D105)</f>
        <v>3.5</v>
      </c>
      <c r="F105" s="23"/>
      <c r="G105" s="30" t="s">
        <v>34</v>
      </c>
      <c r="H105" s="2" t="s">
        <v>17</v>
      </c>
      <c r="I105" s="98"/>
      <c r="J105" s="98"/>
      <c r="K105" s="83">
        <f>(I105*J105)</f>
        <v>0</v>
      </c>
    </row>
    <row r="106" spans="1:11" ht="12.75">
      <c r="A106" s="29" t="s">
        <v>35</v>
      </c>
      <c r="B106" s="18" t="s">
        <v>17</v>
      </c>
      <c r="C106" s="22">
        <v>1</v>
      </c>
      <c r="D106" s="22">
        <v>7.45</v>
      </c>
      <c r="E106" s="89">
        <f>(C106*D106)</f>
        <v>7.45</v>
      </c>
      <c r="F106" s="23"/>
      <c r="G106" s="30" t="s">
        <v>35</v>
      </c>
      <c r="H106" s="2" t="s">
        <v>17</v>
      </c>
      <c r="I106" s="98"/>
      <c r="J106" s="98"/>
      <c r="K106" s="83">
        <f>(I106*J106)</f>
        <v>0</v>
      </c>
    </row>
    <row r="107" spans="1:11" ht="12.75">
      <c r="A107" s="29" t="s">
        <v>36</v>
      </c>
      <c r="B107" s="18" t="s">
        <v>17</v>
      </c>
      <c r="C107" s="22">
        <v>0</v>
      </c>
      <c r="D107" s="22">
        <v>0</v>
      </c>
      <c r="E107" s="89">
        <f>(C107*D107)</f>
        <v>0</v>
      </c>
      <c r="F107" s="23"/>
      <c r="G107" s="30" t="s">
        <v>36</v>
      </c>
      <c r="H107" s="2" t="s">
        <v>17</v>
      </c>
      <c r="I107" s="98"/>
      <c r="J107" s="98"/>
      <c r="K107" s="83">
        <f>(I107*J107)</f>
        <v>0</v>
      </c>
    </row>
    <row r="108" spans="1:11" ht="12.75">
      <c r="A108" s="17"/>
      <c r="B108" s="18"/>
      <c r="C108" s="22"/>
      <c r="D108" s="22"/>
      <c r="E108" s="89"/>
      <c r="F108" s="19"/>
      <c r="H108" s="2"/>
      <c r="I108" s="83"/>
      <c r="J108" s="83"/>
      <c r="K108" s="83"/>
    </row>
    <row r="109" spans="1:11" ht="12.75">
      <c r="A109" s="112" t="s">
        <v>76</v>
      </c>
      <c r="B109" s="47"/>
      <c r="C109" s="47"/>
      <c r="D109" s="47"/>
      <c r="E109" s="113">
        <f>SUM(E91:E108)</f>
        <v>171.11999999999998</v>
      </c>
      <c r="F109" s="40"/>
      <c r="G109" s="118" t="s">
        <v>76</v>
      </c>
      <c r="H109" s="47"/>
      <c r="I109" s="47"/>
      <c r="J109" s="47"/>
      <c r="K109" s="114">
        <f>SUM(K91:K108)</f>
        <v>0</v>
      </c>
    </row>
    <row r="110" spans="2:11" ht="12.75">
      <c r="B110" s="2"/>
      <c r="C110" s="2"/>
      <c r="D110" s="2"/>
      <c r="E110" s="119"/>
      <c r="F110" s="120"/>
      <c r="G110" s="121"/>
      <c r="H110" s="2"/>
      <c r="I110" s="2"/>
      <c r="J110" s="2"/>
      <c r="K110" s="2"/>
    </row>
    <row r="111" spans="1:11" ht="12.75">
      <c r="A111" s="28" t="s">
        <v>77</v>
      </c>
      <c r="B111" s="2"/>
      <c r="C111" s="2"/>
      <c r="D111" s="2"/>
      <c r="E111" s="113">
        <f>(E82+E109)</f>
        <v>348.31131862525</v>
      </c>
      <c r="F111" s="40"/>
      <c r="G111" s="122" t="s">
        <v>77</v>
      </c>
      <c r="H111" s="120"/>
      <c r="I111" s="120"/>
      <c r="J111" s="120"/>
      <c r="K111" s="40">
        <f>(K82+K109)</f>
        <v>0</v>
      </c>
    </row>
    <row r="112" spans="1:11" ht="12.75">
      <c r="A112" s="28"/>
      <c r="B112" s="2"/>
      <c r="C112" s="2"/>
      <c r="D112" s="2"/>
      <c r="E112" s="119"/>
      <c r="F112" s="120"/>
      <c r="G112" s="122"/>
      <c r="H112" s="120"/>
      <c r="I112" s="120"/>
      <c r="J112" s="120"/>
      <c r="K112" s="120"/>
    </row>
    <row r="113" spans="1:11" ht="12.75">
      <c r="A113" s="35" t="s">
        <v>78</v>
      </c>
      <c r="B113" s="2"/>
      <c r="C113" s="2"/>
      <c r="D113" s="2"/>
      <c r="E113" s="113">
        <f>(E21-E82)</f>
        <v>533.55868137475</v>
      </c>
      <c r="F113" s="40"/>
      <c r="G113" s="123" t="s">
        <v>78</v>
      </c>
      <c r="H113" s="120"/>
      <c r="I113" s="120"/>
      <c r="J113" s="120"/>
      <c r="K113" s="40">
        <f>(K21-K82)</f>
        <v>0</v>
      </c>
    </row>
    <row r="114" spans="1:11" ht="12.75">
      <c r="A114" s="3"/>
      <c r="B114" s="2"/>
      <c r="C114" s="2"/>
      <c r="D114" s="2"/>
      <c r="E114" s="40"/>
      <c r="F114" s="19"/>
      <c r="G114" s="3"/>
      <c r="H114" s="2"/>
      <c r="I114" s="2"/>
      <c r="J114" s="2"/>
      <c r="K114" s="40"/>
    </row>
    <row r="115" spans="1:11" ht="12.75">
      <c r="A115" s="28" t="s">
        <v>79</v>
      </c>
      <c r="B115" s="18"/>
      <c r="C115" s="18"/>
      <c r="D115" s="18"/>
      <c r="E115" s="117">
        <f>(E21-E111)</f>
        <v>362.43868137475</v>
      </c>
      <c r="F115" s="39"/>
      <c r="G115" s="28" t="s">
        <v>79</v>
      </c>
      <c r="H115" s="2"/>
      <c r="I115" s="2"/>
      <c r="J115" s="2"/>
      <c r="K115" s="117">
        <f>(K21-K111)</f>
        <v>0</v>
      </c>
    </row>
    <row r="116" spans="1:11" s="42" customFormat="1" ht="12.75">
      <c r="A116" s="3"/>
      <c r="B116" s="2"/>
      <c r="C116" s="2"/>
      <c r="D116" s="2"/>
      <c r="E116" s="40"/>
      <c r="F116" s="19"/>
      <c r="G116" s="3"/>
      <c r="H116" s="2"/>
      <c r="I116" s="2"/>
      <c r="J116" s="2"/>
      <c r="K116" s="40"/>
    </row>
    <row r="117" spans="1:11" ht="12.75">
      <c r="A117" s="3" t="s">
        <v>95</v>
      </c>
      <c r="B117" s="2" t="s">
        <v>96</v>
      </c>
      <c r="C117" s="2"/>
      <c r="D117" s="2"/>
      <c r="E117" s="113">
        <f>E111/C19</f>
        <v>139.3245274501</v>
      </c>
      <c r="F117" s="19"/>
      <c r="G117" s="3" t="s">
        <v>95</v>
      </c>
      <c r="H117" s="2" t="s">
        <v>96</v>
      </c>
      <c r="I117" s="2"/>
      <c r="J117" s="2"/>
      <c r="K117" s="40" t="e">
        <f>K111/I19</f>
        <v>#DIV/0!</v>
      </c>
    </row>
    <row r="118" spans="1:11" ht="12.75">
      <c r="A118" s="3"/>
      <c r="B118" s="2"/>
      <c r="C118" s="83"/>
      <c r="D118" s="83"/>
      <c r="E118" s="96"/>
      <c r="F118" s="40"/>
      <c r="G118" s="3"/>
      <c r="H118" s="2"/>
      <c r="I118" s="83"/>
      <c r="J118" s="83"/>
      <c r="K118" s="105"/>
    </row>
    <row r="119" spans="1:11" ht="12.75">
      <c r="A119" s="3"/>
      <c r="B119" s="2"/>
      <c r="C119" s="83"/>
      <c r="D119" s="83"/>
      <c r="E119" s="96"/>
      <c r="F119" s="40"/>
      <c r="G119" s="3"/>
      <c r="H119" s="2"/>
      <c r="I119" s="83"/>
      <c r="J119" s="83"/>
      <c r="K119" s="105"/>
    </row>
    <row r="120" spans="2:11" ht="12.75">
      <c r="B120" s="2"/>
      <c r="C120" s="83"/>
      <c r="D120" s="83"/>
      <c r="E120" s="96"/>
      <c r="F120" s="40"/>
      <c r="G120" s="3"/>
      <c r="H120" s="2"/>
      <c r="I120" s="83"/>
      <c r="J120" s="83"/>
      <c r="K120" s="105"/>
    </row>
    <row r="121" spans="1:11" ht="14.25">
      <c r="A121" s="41" t="s">
        <v>108</v>
      </c>
      <c r="B121" s="2"/>
      <c r="C121" s="83"/>
      <c r="D121" s="83"/>
      <c r="E121" s="96"/>
      <c r="F121" s="40"/>
      <c r="G121" s="3"/>
      <c r="H121" s="2"/>
      <c r="I121" s="83"/>
      <c r="J121" s="83"/>
      <c r="K121" s="105"/>
    </row>
    <row r="122" spans="1:11" ht="12.75">
      <c r="A122" s="42" t="s">
        <v>46</v>
      </c>
      <c r="B122" s="2"/>
      <c r="C122" s="83"/>
      <c r="D122" s="83"/>
      <c r="E122" s="96"/>
      <c r="F122" s="40"/>
      <c r="G122" s="3"/>
      <c r="H122" s="2"/>
      <c r="I122" s="83"/>
      <c r="J122" s="83"/>
      <c r="K122" s="105"/>
    </row>
    <row r="123" spans="1:11" ht="12.75">
      <c r="A123" s="108" t="s">
        <v>104</v>
      </c>
      <c r="B123" s="2"/>
      <c r="C123" s="2"/>
      <c r="D123" s="2"/>
      <c r="E123" s="25"/>
      <c r="F123" s="25"/>
      <c r="G123" s="25"/>
      <c r="H123" s="3"/>
      <c r="I123"/>
      <c r="J123"/>
      <c r="K123"/>
    </row>
    <row r="124" spans="1:11" ht="12.75">
      <c r="A124" s="108"/>
      <c r="B124" s="2"/>
      <c r="C124" s="2"/>
      <c r="D124" s="2"/>
      <c r="E124" s="25"/>
      <c r="F124" s="25"/>
      <c r="G124" s="25"/>
      <c r="H124" s="3"/>
      <c r="I124"/>
      <c r="J124"/>
      <c r="K124"/>
    </row>
    <row r="125" spans="1:11" ht="14.25">
      <c r="A125" s="130" t="s">
        <v>111</v>
      </c>
      <c r="B125" s="2"/>
      <c r="C125" s="2"/>
      <c r="D125" s="2"/>
      <c r="E125" s="25"/>
      <c r="F125" s="25"/>
      <c r="G125" s="25"/>
      <c r="H125" s="3"/>
      <c r="I125"/>
      <c r="J125"/>
      <c r="K125"/>
    </row>
    <row r="126" spans="1:7" ht="12.75">
      <c r="A126" s="43"/>
      <c r="B126" s="2"/>
      <c r="C126" s="83"/>
      <c r="D126" s="83"/>
      <c r="E126" s="83"/>
      <c r="F126" s="25"/>
      <c r="G126" s="3"/>
    </row>
    <row r="127" spans="1:7" ht="12.75">
      <c r="A127" s="42" t="s">
        <v>114</v>
      </c>
      <c r="B127" s="2"/>
      <c r="C127" s="83"/>
      <c r="D127" s="83"/>
      <c r="E127" s="83"/>
      <c r="F127" s="25"/>
      <c r="G127" s="3"/>
    </row>
    <row r="128" ht="12.75">
      <c r="A128" s="42"/>
    </row>
    <row r="129" spans="1:2" ht="12.75">
      <c r="A129" s="42" t="s">
        <v>117</v>
      </c>
      <c r="B129" s="2"/>
    </row>
    <row r="130" spans="1:2" ht="12.75">
      <c r="A130" t="s">
        <v>47</v>
      </c>
      <c r="B130" s="2"/>
    </row>
    <row r="134" ht="12.75"/>
    <row r="135" ht="12.75"/>
    <row r="136" ht="12.75"/>
    <row r="137" ht="12.75"/>
    <row r="138" ht="12.75"/>
    <row r="139" ht="12.75"/>
    <row r="140" ht="12.75"/>
  </sheetData>
  <sheetProtection password="C610" sheet="1"/>
  <hyperlinks>
    <hyperlink ref="A123" r:id="rId1" display="  Wisconsin's 2010 Custom Rate Guide.  "/>
  </hyperlinks>
  <printOptions/>
  <pageMargins left="0.75" right="0.75" top="1" bottom="1" header="0.5" footer="0.5"/>
  <pageSetup horizontalDpi="300" verticalDpi="300" orientation="portrait" r:id="rId3"/>
  <ignoredErrors>
    <ignoredError sqref="K84 K117" evalError="1"/>
    <ignoredError sqref="J9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28125" style="0" customWidth="1"/>
    <col min="11" max="16" width="10.7109375" style="0" customWidth="1"/>
  </cols>
  <sheetData>
    <row r="6" ht="15.75">
      <c r="A6" s="132" t="s">
        <v>116</v>
      </c>
    </row>
    <row r="7" ht="12.75">
      <c r="A7" s="3"/>
    </row>
    <row r="8" ht="12.75">
      <c r="A8" s="3"/>
    </row>
    <row r="9" spans="5:14" ht="15.75">
      <c r="E9" s="138" t="s">
        <v>1</v>
      </c>
      <c r="F9" s="138"/>
      <c r="M9" s="138" t="s">
        <v>2</v>
      </c>
      <c r="N9" s="138"/>
    </row>
    <row r="10" spans="1:18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</row>
    <row r="12" spans="3:16" ht="12.75">
      <c r="C12" s="3"/>
      <c r="D12" s="3"/>
      <c r="E12" s="139" t="s">
        <v>87</v>
      </c>
      <c r="F12" s="139"/>
      <c r="G12" s="3"/>
      <c r="H12" s="3"/>
      <c r="K12" s="3"/>
      <c r="L12" s="3"/>
      <c r="M12" s="139" t="s">
        <v>87</v>
      </c>
      <c r="N12" s="139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6">
        <v>-0.2</v>
      </c>
      <c r="E15" s="46">
        <v>-0.1</v>
      </c>
      <c r="F15" s="47" t="s">
        <v>5</v>
      </c>
      <c r="G15" s="48" t="s">
        <v>49</v>
      </c>
      <c r="H15" s="48" t="s">
        <v>50</v>
      </c>
      <c r="L15" s="46">
        <v>-0.2</v>
      </c>
      <c r="M15" s="46">
        <v>-0.1</v>
      </c>
      <c r="N15" s="47" t="s">
        <v>5</v>
      </c>
      <c r="O15" s="48" t="s">
        <v>49</v>
      </c>
      <c r="P15" s="48" t="s">
        <v>50</v>
      </c>
    </row>
    <row r="16" spans="1:16" ht="13.5" thickBot="1">
      <c r="A16" s="49"/>
      <c r="D16" s="50">
        <f>ROUND((F16*0.8),2)</f>
        <v>227.44</v>
      </c>
      <c r="E16" s="51">
        <f>ROUND((F16*0.9),2)</f>
        <v>255.87</v>
      </c>
      <c r="F16" s="51">
        <f>Budget!D19</f>
        <v>284.3</v>
      </c>
      <c r="G16" s="52">
        <f>ROUND((F16*1.1),2)</f>
        <v>312.73</v>
      </c>
      <c r="H16" s="53">
        <f>ROUND((F16*1.2),2)</f>
        <v>341.16</v>
      </c>
      <c r="L16" s="50">
        <f>ROUND((N16*0.8),2)</f>
        <v>0</v>
      </c>
      <c r="M16" s="51">
        <f>ROUND((N16*0.9),2)</f>
        <v>0</v>
      </c>
      <c r="N16" s="51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49"/>
      <c r="B17" s="56">
        <v>-0.2</v>
      </c>
      <c r="C17" s="57">
        <f>(0.8*C19)</f>
        <v>2</v>
      </c>
      <c r="D17" s="58">
        <f>(D16*C17)-Budget!E111</f>
        <v>106.56868137474999</v>
      </c>
      <c r="E17" s="59">
        <f>(E16*C17)-Budget!E111</f>
        <v>163.42868137475</v>
      </c>
      <c r="F17" s="59">
        <f>(F16*C17)-Budget!E111</f>
        <v>220.28868137475</v>
      </c>
      <c r="G17" s="59">
        <f>(G16*C17)-Budget!E111</f>
        <v>277.14868137475</v>
      </c>
      <c r="H17" s="60">
        <f>(H16*C17)-Budget!E111</f>
        <v>334.00868137475004</v>
      </c>
      <c r="J17" s="56">
        <v>-0.2</v>
      </c>
      <c r="K17" s="57">
        <f>(0.8*K19)</f>
        <v>0</v>
      </c>
      <c r="L17" s="58">
        <f>(L16*K17)-Budget!K111</f>
        <v>0</v>
      </c>
      <c r="M17" s="59">
        <f>(M16*K17)-Budget!K111</f>
        <v>0</v>
      </c>
      <c r="N17" s="59">
        <f>(N16*K17)-Budget!K111</f>
        <v>0</v>
      </c>
      <c r="O17" s="59">
        <f>(O16*K17)-Budget!K111</f>
        <v>0</v>
      </c>
      <c r="P17" s="60">
        <f>(P16*K17)-Budget!K111</f>
        <v>0</v>
      </c>
    </row>
    <row r="18" spans="1:16" ht="12.75">
      <c r="A18" s="27"/>
      <c r="B18" s="56">
        <v>-0.1</v>
      </c>
      <c r="C18" s="61">
        <f>(0.9*C19)</f>
        <v>2.25</v>
      </c>
      <c r="D18" s="62">
        <f>(D16*C18)-Budget!E111</f>
        <v>163.42868137475</v>
      </c>
      <c r="E18" s="63">
        <f>(E16*C18)-Budget!E111</f>
        <v>227.39618137474997</v>
      </c>
      <c r="F18" s="63">
        <f>(F16*C18)-Budget!E111</f>
        <v>291.36368137475006</v>
      </c>
      <c r="G18" s="63">
        <f>(G16*C18)-Budget!E111</f>
        <v>355.33118137475003</v>
      </c>
      <c r="H18" s="64">
        <f>(H16*C18)-Budget!E111</f>
        <v>419.29868137475</v>
      </c>
      <c r="J18" s="56">
        <v>-0.1</v>
      </c>
      <c r="K18" s="61">
        <f>(0.9*K19)</f>
        <v>0</v>
      </c>
      <c r="L18" s="62">
        <f>(L16*K18)-Budget!K111</f>
        <v>0</v>
      </c>
      <c r="M18" s="63">
        <f>(M16*K18)-Budget!K111</f>
        <v>0</v>
      </c>
      <c r="N18" s="63">
        <f>(N16*K18)-Budget!K111</f>
        <v>0</v>
      </c>
      <c r="O18" s="63">
        <f>(O16*K18)-Budget!K111</f>
        <v>0</v>
      </c>
      <c r="P18" s="64">
        <f>(P16*K18)-Budget!K111</f>
        <v>0</v>
      </c>
    </row>
    <row r="19" spans="1:16" ht="12.75">
      <c r="A19" s="49"/>
      <c r="B19" s="36" t="s">
        <v>51</v>
      </c>
      <c r="C19" s="61">
        <f>Budget!C19</f>
        <v>2.5</v>
      </c>
      <c r="D19" s="62">
        <f>(D16*C19)-Budget!E111</f>
        <v>220.28868137475</v>
      </c>
      <c r="E19" s="63">
        <f>(E16*C19)-Budget!E111</f>
        <v>291.36368137474994</v>
      </c>
      <c r="F19" s="63">
        <f>(F16*C19)-Budget!E111</f>
        <v>362.43868137475</v>
      </c>
      <c r="G19" s="63">
        <f>(G16*C19)-Budget!E111</f>
        <v>433.51368137475004</v>
      </c>
      <c r="H19" s="64">
        <f>(H16*C19)-Budget!E111</f>
        <v>504.5886813747501</v>
      </c>
      <c r="J19" s="36" t="s">
        <v>51</v>
      </c>
      <c r="K19" s="61">
        <f>Budget!I19</f>
        <v>0</v>
      </c>
      <c r="L19" s="62">
        <f>(L16*K19)-Budget!K111</f>
        <v>0</v>
      </c>
      <c r="M19" s="63">
        <f>(M16*K19)-Budget!K111</f>
        <v>0</v>
      </c>
      <c r="N19" s="63">
        <f>(N16*K19)-Budget!K111</f>
        <v>0</v>
      </c>
      <c r="O19" s="63">
        <f>(O16*K19)-Budget!K111</f>
        <v>0</v>
      </c>
      <c r="P19" s="64">
        <f>(P16*K19)-Budget!K111</f>
        <v>0</v>
      </c>
    </row>
    <row r="20" spans="1:16" ht="12.75">
      <c r="A20" s="49"/>
      <c r="B20" s="65" t="s">
        <v>49</v>
      </c>
      <c r="C20" s="61">
        <f>(1.1*C19)</f>
        <v>2.75</v>
      </c>
      <c r="D20" s="62">
        <f>(D16*C20)-Budget!E111</f>
        <v>277.14868137475</v>
      </c>
      <c r="E20" s="63">
        <f>(E16*C20)-Budget!E111</f>
        <v>355.33118137475003</v>
      </c>
      <c r="F20" s="63">
        <f>(F16*C20)-Budget!E111</f>
        <v>433.51368137475004</v>
      </c>
      <c r="G20" s="63">
        <f>(G16*C20)-Budget!E111</f>
        <v>511.69618137475004</v>
      </c>
      <c r="H20" s="64">
        <f>(H16*C20)-Budget!E111</f>
        <v>589.87868137475</v>
      </c>
      <c r="J20" s="65" t="s">
        <v>49</v>
      </c>
      <c r="K20" s="61">
        <f>(1.1*K19)</f>
        <v>0</v>
      </c>
      <c r="L20" s="62">
        <f>(L16*K20)-Budget!K111</f>
        <v>0</v>
      </c>
      <c r="M20" s="63">
        <f>(M16*K20)-Budget!K111</f>
        <v>0</v>
      </c>
      <c r="N20" s="63">
        <f>(N16*K20)-Budget!K111</f>
        <v>0</v>
      </c>
      <c r="O20" s="63">
        <f>(O16*K20)-Budget!K111</f>
        <v>0</v>
      </c>
      <c r="P20" s="64">
        <f>(P16*K20)-Budget!K111</f>
        <v>0</v>
      </c>
    </row>
    <row r="21" spans="2:16" ht="13.5" thickBot="1">
      <c r="B21" s="65" t="s">
        <v>50</v>
      </c>
      <c r="C21" s="66">
        <f>(1.2*C19)</f>
        <v>3</v>
      </c>
      <c r="D21" s="67">
        <f>(D16*C21)-Budget!E111</f>
        <v>334.0086813747499</v>
      </c>
      <c r="E21" s="68">
        <f>(E16*C21)-Budget!E111</f>
        <v>419.29868137475</v>
      </c>
      <c r="F21" s="68">
        <f>(F16*C21)-Budget!E111</f>
        <v>504.5886813747501</v>
      </c>
      <c r="G21" s="68">
        <f>(G16*C21)-Budget!E111</f>
        <v>589.87868137475</v>
      </c>
      <c r="H21" s="69">
        <f>(H16*C21)-Budget!E111</f>
        <v>675.16868137475</v>
      </c>
      <c r="J21" s="65" t="s">
        <v>50</v>
      </c>
      <c r="K21" s="66">
        <f>(1.2*K19)</f>
        <v>0</v>
      </c>
      <c r="L21" s="67">
        <f>(L16*K21)-Budget!K111</f>
        <v>0</v>
      </c>
      <c r="M21" s="68">
        <f>(M16*K21)-Budget!K111</f>
        <v>0</v>
      </c>
      <c r="N21" s="68">
        <f>(N16*K21)-Budget!K111</f>
        <v>0</v>
      </c>
      <c r="O21" s="68">
        <f>(O16*K21)-Budget!K111</f>
        <v>0</v>
      </c>
      <c r="P21" s="69">
        <f>(P16*K21)-Budget!K111</f>
        <v>0</v>
      </c>
    </row>
    <row r="26" spans="3:14" ht="12.75">
      <c r="C26" s="3"/>
      <c r="D26" s="3"/>
      <c r="E26" s="139" t="s">
        <v>88</v>
      </c>
      <c r="F26" s="139"/>
      <c r="K26" s="3"/>
      <c r="L26" s="3"/>
      <c r="M26" s="139" t="s">
        <v>88</v>
      </c>
      <c r="N26" s="139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6">
        <v>-0.2</v>
      </c>
      <c r="E29" s="46">
        <v>-0.1</v>
      </c>
      <c r="F29" s="47" t="s">
        <v>5</v>
      </c>
      <c r="G29" s="48" t="s">
        <v>49</v>
      </c>
      <c r="H29" s="48" t="s">
        <v>50</v>
      </c>
      <c r="L29" s="46">
        <v>-0.2</v>
      </c>
      <c r="M29" s="46">
        <v>-0.1</v>
      </c>
      <c r="N29" s="47" t="s">
        <v>5</v>
      </c>
      <c r="O29" s="48" t="s">
        <v>49</v>
      </c>
      <c r="P29" s="48" t="s">
        <v>50</v>
      </c>
    </row>
    <row r="30" spans="4:16" ht="13.5" thickBot="1">
      <c r="D30" s="50">
        <f>ROUND((F30*0.8),2)</f>
        <v>227.44</v>
      </c>
      <c r="E30" s="51">
        <f>ROUND((F30*0.9),2)</f>
        <v>255.87</v>
      </c>
      <c r="F30" s="51">
        <f>Budget!D19</f>
        <v>284.3</v>
      </c>
      <c r="G30" s="52">
        <f>ROUND((F30*1.1),2)</f>
        <v>312.73</v>
      </c>
      <c r="H30" s="53">
        <f>ROUND((F30*1.2),2)</f>
        <v>341.16</v>
      </c>
      <c r="L30" s="50">
        <f>ROUND((N30*0.8),2)</f>
        <v>0</v>
      </c>
      <c r="M30" s="51">
        <f>ROUND((N30*0.9),2)</f>
        <v>0</v>
      </c>
      <c r="N30" s="51">
        <f>Budget!J19</f>
        <v>0</v>
      </c>
      <c r="O30" s="54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70">
        <f>(0.8*C33)</f>
        <v>278.64905490020004</v>
      </c>
      <c r="D31" s="71">
        <f>(C31/D30)</f>
        <v>1.225154128122582</v>
      </c>
      <c r="E31" s="72">
        <f>(C31/E30)</f>
        <v>1.0890258916645172</v>
      </c>
      <c r="F31" s="72">
        <f>(C31/F30)</f>
        <v>0.9801233024980656</v>
      </c>
      <c r="G31" s="72">
        <f>(C31/G30)</f>
        <v>0.8910211840891504</v>
      </c>
      <c r="H31" s="73">
        <f>(C31/H30)</f>
        <v>0.8167694187483879</v>
      </c>
      <c r="J31" s="56">
        <v>-0.2</v>
      </c>
      <c r="K31" s="70">
        <f>(0.8*K33)</f>
        <v>0</v>
      </c>
      <c r="L31" s="71" t="e">
        <f>(K31/L30)</f>
        <v>#DIV/0!</v>
      </c>
      <c r="M31" s="72" t="e">
        <f>(K31/M30)</f>
        <v>#DIV/0!</v>
      </c>
      <c r="N31" s="72" t="e">
        <f>(K31/N30)</f>
        <v>#DIV/0!</v>
      </c>
      <c r="O31" s="72" t="e">
        <f>(K31/O30)</f>
        <v>#DIV/0!</v>
      </c>
      <c r="P31" s="73" t="e">
        <f>(K31/P30)</f>
        <v>#DIV/0!</v>
      </c>
    </row>
    <row r="32" spans="2:16" ht="12.75">
      <c r="B32" s="56">
        <v>-0.1</v>
      </c>
      <c r="C32" s="74">
        <f>(0.9*C33)</f>
        <v>313.480186762725</v>
      </c>
      <c r="D32" s="75">
        <f>(C32/D30)</f>
        <v>1.3782983941379046</v>
      </c>
      <c r="E32" s="76">
        <f>(C32/E30)</f>
        <v>1.2251541281225817</v>
      </c>
      <c r="F32" s="76">
        <f>(C32/F30)</f>
        <v>1.1026387153103236</v>
      </c>
      <c r="G32" s="76">
        <f>(C32/G30)</f>
        <v>1.0023988321002941</v>
      </c>
      <c r="H32" s="77">
        <f>(C32/H30)</f>
        <v>0.9188655960919363</v>
      </c>
      <c r="J32" s="56">
        <v>-0.1</v>
      </c>
      <c r="K32" s="74">
        <f>(0.9*K33)</f>
        <v>0</v>
      </c>
      <c r="L32" s="75" t="e">
        <f>(K32/L30)</f>
        <v>#DIV/0!</v>
      </c>
      <c r="M32" s="76" t="e">
        <f>(K32/M30)</f>
        <v>#DIV/0!</v>
      </c>
      <c r="N32" s="76" t="e">
        <f>(K32/N30)</f>
        <v>#DIV/0!</v>
      </c>
      <c r="O32" s="76" t="e">
        <f>(K32/O30)</f>
        <v>#DIV/0!</v>
      </c>
      <c r="P32" s="77" t="e">
        <f>(K32/P30)</f>
        <v>#DIV/0!</v>
      </c>
    </row>
    <row r="33" spans="2:16" ht="12.75">
      <c r="B33" s="36" t="s">
        <v>45</v>
      </c>
      <c r="C33" s="74">
        <f>Budget!E111</f>
        <v>348.31131862525</v>
      </c>
      <c r="D33" s="75">
        <f>(C33/D30)</f>
        <v>1.5314426601532274</v>
      </c>
      <c r="E33" s="76">
        <f>(C33/E30)</f>
        <v>1.3612823645806464</v>
      </c>
      <c r="F33" s="76">
        <f>(C33/F30)</f>
        <v>1.2251541281225817</v>
      </c>
      <c r="G33" s="76">
        <f>(C33/G30)</f>
        <v>1.113776480111438</v>
      </c>
      <c r="H33" s="77">
        <f>(C33/H30)</f>
        <v>1.0209617734354848</v>
      </c>
      <c r="J33" s="36" t="s">
        <v>45</v>
      </c>
      <c r="K33" s="74">
        <f>Budget!K111</f>
        <v>0</v>
      </c>
      <c r="L33" s="75" t="e">
        <f>(K33/L30)</f>
        <v>#DIV/0!</v>
      </c>
      <c r="M33" s="76" t="e">
        <f>(K33/M30)</f>
        <v>#DIV/0!</v>
      </c>
      <c r="N33" s="76" t="e">
        <f>(K33/N30)</f>
        <v>#DIV/0!</v>
      </c>
      <c r="O33" s="76" t="e">
        <f>(K33/O30)</f>
        <v>#DIV/0!</v>
      </c>
      <c r="P33" s="77" t="e">
        <f>(K33/P30)</f>
        <v>#DIV/0!</v>
      </c>
    </row>
    <row r="34" spans="2:16" ht="12.75">
      <c r="B34" s="65" t="s">
        <v>49</v>
      </c>
      <c r="C34" s="74">
        <f>(1.1*C33)</f>
        <v>383.142450487775</v>
      </c>
      <c r="D34" s="75">
        <f>(C34/D30)</f>
        <v>1.68458692616855</v>
      </c>
      <c r="E34" s="76">
        <f>(C34/E30)</f>
        <v>1.4974106010387112</v>
      </c>
      <c r="F34" s="76">
        <f>(C34/F30)</f>
        <v>1.34766954093484</v>
      </c>
      <c r="G34" s="76">
        <f>(C34/G30)</f>
        <v>1.2251541281225817</v>
      </c>
      <c r="H34" s="77">
        <f>(C34/H30)</f>
        <v>1.1230579507790333</v>
      </c>
      <c r="J34" s="65" t="s">
        <v>49</v>
      </c>
      <c r="K34" s="74">
        <f>(1.1*K33)</f>
        <v>0</v>
      </c>
      <c r="L34" s="75" t="e">
        <f>(K34/L30)</f>
        <v>#DIV/0!</v>
      </c>
      <c r="M34" s="76" t="e">
        <f>(K34/M30)</f>
        <v>#DIV/0!</v>
      </c>
      <c r="N34" s="76" t="e">
        <f>(K34/N30)</f>
        <v>#DIV/0!</v>
      </c>
      <c r="O34" s="76" t="e">
        <f>(K34/O30)</f>
        <v>#DIV/0!</v>
      </c>
      <c r="P34" s="77" t="e">
        <f>(K34/P30)</f>
        <v>#DIV/0!</v>
      </c>
    </row>
    <row r="35" spans="2:16" ht="13.5" thickBot="1">
      <c r="B35" s="65" t="s">
        <v>50</v>
      </c>
      <c r="C35" s="78">
        <f>(1.2*C33)</f>
        <v>417.9735823503</v>
      </c>
      <c r="D35" s="79">
        <f>(C35/D30)</f>
        <v>1.8377311921838726</v>
      </c>
      <c r="E35" s="80">
        <f>(C35/E30)</f>
        <v>1.6335388374967756</v>
      </c>
      <c r="F35" s="80">
        <f>(C35/F30)</f>
        <v>1.470184953747098</v>
      </c>
      <c r="G35" s="80">
        <f>(C35/G30)</f>
        <v>1.3365317761337254</v>
      </c>
      <c r="H35" s="81">
        <f>(C35/H30)</f>
        <v>1.2251541281225817</v>
      </c>
      <c r="J35" s="65" t="s">
        <v>50</v>
      </c>
      <c r="K35" s="78">
        <f>(1.2*K33)</f>
        <v>0</v>
      </c>
      <c r="L35" s="79" t="e">
        <f>(K35/L30)</f>
        <v>#DIV/0!</v>
      </c>
      <c r="M35" s="80" t="e">
        <f>(K35/M30)</f>
        <v>#DIV/0!</v>
      </c>
      <c r="N35" s="80" t="e">
        <f>(K35/N30)</f>
        <v>#DIV/0!</v>
      </c>
      <c r="O35" s="80" t="e">
        <f>(K35/O30)</f>
        <v>#DIV/0!</v>
      </c>
      <c r="P35" s="81" t="e">
        <f>(K35/P30)</f>
        <v>#DIV/0!</v>
      </c>
    </row>
  </sheetData>
  <sheetProtection password="C610" sheet="1" objects="1" scenarios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horizontalDpi="600" verticalDpi="600" orientation="portrait" r:id="rId2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9"/>
  <sheetViews>
    <sheetView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5.00390625" style="0" customWidth="1"/>
    <col min="4" max="4" width="10.8515625" style="0" customWidth="1"/>
    <col min="9" max="9" width="11.28125" style="0" customWidth="1"/>
  </cols>
  <sheetData>
    <row r="8" spans="1:2" ht="15.75">
      <c r="A8" s="132" t="s">
        <v>116</v>
      </c>
      <c r="B8" s="2"/>
    </row>
    <row r="9" spans="1:2" ht="15.75">
      <c r="A9" s="132" t="s">
        <v>53</v>
      </c>
      <c r="B9" s="2"/>
    </row>
    <row r="11" spans="1:9" ht="12.75">
      <c r="A11" s="47" t="s">
        <v>54</v>
      </c>
      <c r="B11" s="47" t="s">
        <v>55</v>
      </c>
      <c r="C11" s="47" t="s">
        <v>56</v>
      </c>
      <c r="D11" s="47" t="s">
        <v>57</v>
      </c>
      <c r="E11" s="47" t="s">
        <v>58</v>
      </c>
      <c r="F11" s="47" t="s">
        <v>59</v>
      </c>
      <c r="G11" s="47" t="s">
        <v>60</v>
      </c>
      <c r="H11" s="47" t="s">
        <v>61</v>
      </c>
      <c r="I11" s="47" t="s">
        <v>62</v>
      </c>
    </row>
    <row r="12" spans="1:9" ht="12.75">
      <c r="A12" s="47"/>
      <c r="B12" s="47"/>
      <c r="C12" s="47"/>
      <c r="D12" s="47"/>
      <c r="E12" s="47"/>
      <c r="F12" s="47"/>
      <c r="G12" s="47"/>
      <c r="H12" s="47" t="s">
        <v>63</v>
      </c>
      <c r="I12" s="47" t="s">
        <v>64</v>
      </c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2" t="s">
        <v>113</v>
      </c>
      <c r="B14" t="s">
        <v>71</v>
      </c>
      <c r="C14" s="82">
        <v>8.6</v>
      </c>
      <c r="D14" s="82">
        <v>3.87</v>
      </c>
      <c r="E14" s="82">
        <v>2.18</v>
      </c>
      <c r="F14" s="82">
        <v>4.26</v>
      </c>
      <c r="G14" s="82">
        <v>4.71</v>
      </c>
      <c r="H14" s="25">
        <v>1</v>
      </c>
      <c r="I14" s="82">
        <f>SUM(C14:G14)*H14</f>
        <v>23.619999999999997</v>
      </c>
    </row>
    <row r="15" spans="1:9" ht="12.75">
      <c r="A15" s="42" t="s">
        <v>99</v>
      </c>
      <c r="B15" t="s">
        <v>115</v>
      </c>
      <c r="C15" s="82">
        <v>1.99</v>
      </c>
      <c r="D15" s="82">
        <v>0.96</v>
      </c>
      <c r="E15" s="82">
        <v>0.73</v>
      </c>
      <c r="F15" s="82">
        <v>1.34</v>
      </c>
      <c r="G15" s="82">
        <v>0.92</v>
      </c>
      <c r="H15" s="25">
        <v>1</v>
      </c>
      <c r="I15" s="82">
        <f>SUM(C15:G15)*H15</f>
        <v>5.94</v>
      </c>
    </row>
    <row r="16" spans="1:9" ht="12.75">
      <c r="A16" s="42" t="s">
        <v>72</v>
      </c>
      <c r="B16" s="42" t="s">
        <v>100</v>
      </c>
      <c r="C16" s="82">
        <v>0.37</v>
      </c>
      <c r="D16" s="82">
        <v>0.2</v>
      </c>
      <c r="E16" s="82">
        <v>0.22</v>
      </c>
      <c r="F16" s="82">
        <v>0.22</v>
      </c>
      <c r="G16" s="82">
        <v>0.21</v>
      </c>
      <c r="H16" s="25">
        <v>0.4</v>
      </c>
      <c r="I16" s="82">
        <f>SUM(C16:G16)/H16</f>
        <v>3.05</v>
      </c>
    </row>
    <row r="17" spans="1:9" ht="12.75">
      <c r="A17" t="s">
        <v>65</v>
      </c>
      <c r="C17" s="82" t="s">
        <v>66</v>
      </c>
      <c r="D17" s="82"/>
      <c r="E17" s="82"/>
      <c r="F17" s="82">
        <f>SUM(F14:F16)*0.15</f>
        <v>0.8729999999999999</v>
      </c>
      <c r="G17" s="82"/>
      <c r="H17" s="82"/>
      <c r="I17" s="82"/>
    </row>
    <row r="18" spans="3:9" ht="12.75">
      <c r="C18" s="82"/>
      <c r="D18" s="82"/>
      <c r="E18" s="82"/>
      <c r="F18" s="82"/>
      <c r="G18" s="82"/>
      <c r="H18" s="82"/>
      <c r="I18" s="82"/>
    </row>
    <row r="19" spans="1:9" ht="12.75">
      <c r="A19" t="s">
        <v>67</v>
      </c>
      <c r="C19" s="82">
        <f>SUM(C14:C18)</f>
        <v>10.959999999999999</v>
      </c>
      <c r="D19" s="82">
        <f>SUM(D14:D18)</f>
        <v>5.03</v>
      </c>
      <c r="E19" s="82">
        <f>SUM(E14:E18)</f>
        <v>3.1300000000000003</v>
      </c>
      <c r="F19" s="82">
        <f>SUM(F14:F18)</f>
        <v>6.693</v>
      </c>
      <c r="G19" s="82">
        <f>SUM(G14:G18)</f>
        <v>5.84</v>
      </c>
      <c r="H19" s="82"/>
      <c r="I19" s="82">
        <f>SUM(C19:G19)</f>
        <v>31.652999999999995</v>
      </c>
    </row>
  </sheetData>
  <sheetProtection password="C610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2014-03-25T18:20:30Z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