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<sst xmlns="http://schemas.openxmlformats.org/spreadsheetml/2006/main" count="301" uniqueCount="136">
  <si>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</si>
  <si>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</si>
  <si>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</si>
  <si>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</si>
  <si>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</si>
  <si>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</si>
  <si>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</si>
  <si>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</si>
  <si>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</si>
  <si>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</si>
  <si>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</si>
  <si>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</si>
  <si>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</si>
  <si>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</si>
  <si>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</si>
  <si>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</si>
  <si>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</si>
  <si>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</si>
  <si>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</si>
  <si>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</si>
  <si>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</si>
  <si>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</si>
  <si>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</si>
  <si>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</si>
  <si>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</si>
  <si>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</si>
  <si>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</si>
  <si>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</si>
  <si>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</si>
  <si>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</si>
  <si>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</si>
  <si>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</si>
  <si>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</si>
  <si>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</si>
  <si>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</si>
  <si>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</si>
  <si>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</si>
  <si>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</si>
  <si>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</si>
  <si>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</si>
  <si>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</si>
  <si>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</si>
  <si>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</si>
  <si>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</si>
  <si>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</si>
  <si>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</si>
  <si>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</si>
  <si>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</si>
  <si>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</si>
  <si>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</si>
  <si>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</si>
  <si>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</si>
  <si>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</si>
  <si>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</si>
  <si>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</si>
  <si>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</si>
  <si>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</si>
  <si>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</si>
  <si>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</si>
  <si>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</si>
  <si>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</si>
  <si>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</si>
  <si>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</si>
  <si>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</si>
  <si>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</si>
  <si>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</si>
  <si>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</si>
  <si>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</si>
  <si>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</si>
  <si>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</si>
  <si>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</si>
  <si>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</si>
  <si>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</si>
  <si>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</si>
  <si>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</si>
  <si>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</si>
  <si>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</si>
  <si>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</si>
  <si>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</si>
  <si>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</si>
  <si>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</si>
  <si>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</si>
  <si>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</si>
  <si>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</si>
  <si>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</si>
  <si>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</si>
  <si>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</si>
  <si>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</si>
  <si>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</si>
  <si>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</si>
  <si>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</si>
  <si>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</si>
  <si>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</si>
  <si>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</si>
  <si>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</si>
  <si>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</si>
  <si>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</si>
  <si>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</si>
  <si>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</si>
  <si>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</si>
  <si>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</si>
  <si>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</si>
  <si>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</si>
  <si>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</si>
  <si>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</si>
  <si>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</si>
  <si>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</si>
  <si>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</si>
  <si>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cwt</t>
  </si>
  <si>
    <t>(Enter % in J85)</t>
  </si>
  <si>
    <t>2-row precision seeder</t>
  </si>
  <si>
    <t>Sandea</t>
  </si>
  <si>
    <t>oz</t>
  </si>
  <si>
    <t>Curbit EC</t>
  </si>
  <si>
    <t>pt</t>
  </si>
  <si>
    <t>$ per cwt</t>
  </si>
  <si>
    <t>100 ft Row ($)</t>
  </si>
  <si>
    <t>Management charge (enter % of income in J97)</t>
  </si>
  <si>
    <t>(per 100 ft Row)</t>
  </si>
  <si>
    <t>100 ft Row</t>
  </si>
  <si>
    <t>Total Operating Costs per Unit of Production</t>
  </si>
  <si>
    <t>Capture 2EC - 2 applications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</si>
  <si>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</si>
  <si>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</si>
  <si>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Pumpkin</t>
  </si>
  <si>
    <t xml:space="preserve">Pumpkin seed  </t>
  </si>
  <si>
    <t>Quadris - 2 applications</t>
  </si>
  <si>
    <t>Bravo Weatherstik - 2 applications</t>
  </si>
  <si>
    <t>gal</t>
  </si>
  <si>
    <t>None</t>
  </si>
  <si>
    <t xml:space="preserve">Tractor 040 HP </t>
  </si>
  <si>
    <t>Cultivator 2-row</t>
  </si>
  <si>
    <t xml:space="preserve">  Wisconsin's 2010 Custom Rate Guide.  </t>
  </si>
  <si>
    <t>This budget was developed with the Cost Accounting and Planning (CAP) software , version 2011.9.</t>
  </si>
  <si>
    <t>Pumpkin market non-irrigated budget for Wisconsin for 2014</t>
  </si>
  <si>
    <t>Developed by Ken Barnett, March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</si>
</sst>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0" fontId="10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133</xdr:row>
      <xdr:rowOff>9525</xdr:rowOff>
    </xdr:from>
    <xdr:to>
      <xdr:col>7</xdr:col>
      <xdr:colOff>914400</xdr:colOff>
      <xdr:row>141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21774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133350</xdr:rowOff>
    </xdr:from>
    <xdr:to>
      <xdr:col>5</xdr:col>
      <xdr:colOff>266700</xdr:colOff>
      <xdr:row>41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229225"/>
          <a:ext cx="2057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1"/>
  <sheetViews>
    <sheetView tabSelected="1" zoomScale="70" zoomScaleNormal="70" zoomScaleSheetLayoutView="75" zoomScalePageLayoutView="0" workbookViewId="0" topLeftCell="A1">
      <selection activeCell="J9" sqref="J9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0.71093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134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56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53</v>
      </c>
      <c r="B12" s="2"/>
      <c r="C12" s="2"/>
      <c r="D12" s="2"/>
      <c r="E12" s="2"/>
      <c r="F12" s="2"/>
      <c r="G12" s="2"/>
      <c r="H12" s="18" t="s">
        <v>54</v>
      </c>
    </row>
    <row r="13" spans="1:8" s="82" customFormat="1" ht="15.75">
      <c r="A13" s="83"/>
      <c r="B13" s="84"/>
      <c r="C13" s="84"/>
      <c r="D13" s="84"/>
      <c r="E13" s="84"/>
      <c r="F13" s="84"/>
      <c r="G13" s="84"/>
      <c r="H13" s="83"/>
    </row>
    <row r="14" spans="1:8" ht="12.75">
      <c r="A14" s="11"/>
      <c r="B14" s="2"/>
      <c r="C14" s="2"/>
      <c r="D14" s="2"/>
      <c r="E14" s="2"/>
      <c r="F14" s="32"/>
      <c r="G14" s="122"/>
      <c r="H14" s="121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1" t="s">
        <v>89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90</v>
      </c>
      <c r="D16" s="22" t="s">
        <v>91</v>
      </c>
      <c r="E16" s="34" t="s">
        <v>6</v>
      </c>
      <c r="F16" s="52" t="s">
        <v>116</v>
      </c>
      <c r="G16" s="26"/>
      <c r="H16" s="25"/>
      <c r="I16" s="22"/>
      <c r="J16" s="22"/>
      <c r="K16" s="22" t="s">
        <v>91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55</v>
      </c>
      <c r="B18" s="36"/>
      <c r="C18" s="36"/>
      <c r="D18" s="36"/>
      <c r="E18" s="37"/>
      <c r="F18" s="37"/>
      <c r="G18" s="27"/>
      <c r="H18" s="9" t="s">
        <v>55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124</v>
      </c>
      <c r="B20" s="36" t="s">
        <v>108</v>
      </c>
      <c r="C20" s="123">
        <v>350</v>
      </c>
      <c r="D20" s="39">
        <v>11.55</v>
      </c>
      <c r="E20" s="106">
        <f>(C20*D20)</f>
        <v>4042.5000000000005</v>
      </c>
      <c r="F20" s="40">
        <f>(E20*0.0092)</f>
        <v>37.191</v>
      </c>
      <c r="G20" s="28"/>
      <c r="H20" s="35" t="s">
        <v>124</v>
      </c>
      <c r="I20" s="36" t="s">
        <v>108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6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6">
        <f>SUM(E20:E21)</f>
        <v>4042.5000000000005</v>
      </c>
      <c r="F22" s="106">
        <f>SUM(F20:F21)</f>
        <v>37.191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125</v>
      </c>
      <c r="B29" s="36" t="s">
        <v>88</v>
      </c>
      <c r="C29" s="39">
        <v>1.42</v>
      </c>
      <c r="D29" s="39">
        <v>113.56</v>
      </c>
      <c r="E29" s="40">
        <f>(C29*D29)</f>
        <v>161.2552</v>
      </c>
      <c r="F29" s="40">
        <f>(E29*0.0092)</f>
        <v>1.48354784</v>
      </c>
      <c r="G29" s="28"/>
      <c r="H29" s="41" t="s">
        <v>125</v>
      </c>
      <c r="I29" s="36" t="s">
        <v>88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57</v>
      </c>
      <c r="C32" s="45">
        <v>300</v>
      </c>
      <c r="D32" s="45">
        <v>0.24</v>
      </c>
      <c r="E32" s="40">
        <f>(C32*D32)</f>
        <v>72</v>
      </c>
      <c r="F32" s="40">
        <f>(E32*0.0092)</f>
        <v>0.6624</v>
      </c>
      <c r="G32" s="28"/>
      <c r="H32" s="4" t="s">
        <v>58</v>
      </c>
      <c r="I32" s="16" t="s">
        <v>57</v>
      </c>
      <c r="J32" s="30"/>
      <c r="K32" s="30"/>
      <c r="L32" s="3">
        <f>(J32*K32)</f>
        <v>0</v>
      </c>
    </row>
    <row r="33" spans="1:12" ht="12.75" customHeight="1">
      <c r="A33" s="41" t="s">
        <v>98</v>
      </c>
      <c r="B33" s="44" t="s">
        <v>57</v>
      </c>
      <c r="C33" s="45">
        <v>110</v>
      </c>
      <c r="D33" s="45">
        <v>0.27</v>
      </c>
      <c r="E33" s="40">
        <f>(C33*D33)</f>
        <v>29.700000000000003</v>
      </c>
      <c r="F33" s="40">
        <f>(E33*0.0092)</f>
        <v>0.27324000000000004</v>
      </c>
      <c r="G33" s="28"/>
      <c r="H33" s="4" t="s">
        <v>37</v>
      </c>
      <c r="I33" s="16" t="s">
        <v>57</v>
      </c>
      <c r="J33" s="30"/>
      <c r="K33" s="30"/>
      <c r="L33" s="3">
        <f>(J33*K33)</f>
        <v>0</v>
      </c>
    </row>
    <row r="34" spans="1:12" ht="12.75" customHeight="1">
      <c r="A34" s="41" t="s">
        <v>59</v>
      </c>
      <c r="B34" s="44" t="s">
        <v>57</v>
      </c>
      <c r="C34" s="45">
        <v>185</v>
      </c>
      <c r="D34" s="45">
        <v>0.22</v>
      </c>
      <c r="E34" s="40">
        <f>(C34*D34)</f>
        <v>40.7</v>
      </c>
      <c r="F34" s="40">
        <f>(E34*0.0092)</f>
        <v>0.37444</v>
      </c>
      <c r="G34" s="28"/>
      <c r="H34" s="4" t="s">
        <v>59</v>
      </c>
      <c r="I34" s="16" t="s">
        <v>57</v>
      </c>
      <c r="J34" s="30"/>
      <c r="K34" s="30"/>
      <c r="L34" s="3">
        <f>(J34*K34)</f>
        <v>0</v>
      </c>
    </row>
    <row r="35" spans="1:12" ht="12.75">
      <c r="A35" s="41" t="s">
        <v>83</v>
      </c>
      <c r="B35" s="36" t="s">
        <v>1</v>
      </c>
      <c r="C35" s="39">
        <v>4</v>
      </c>
      <c r="D35" s="39">
        <v>2</v>
      </c>
      <c r="E35" s="40">
        <f>(C35*D35)</f>
        <v>8</v>
      </c>
      <c r="F35" s="40">
        <f>(E35*0.0092)</f>
        <v>0.0736</v>
      </c>
      <c r="G35" s="28"/>
      <c r="H35" s="4" t="s">
        <v>92</v>
      </c>
      <c r="I35" s="2" t="s">
        <v>93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4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111</v>
      </c>
      <c r="B39" s="36" t="s">
        <v>112</v>
      </c>
      <c r="C39" s="39">
        <v>1</v>
      </c>
      <c r="D39" s="39">
        <v>44</v>
      </c>
      <c r="E39" s="40">
        <f>(C39*D39)</f>
        <v>44</v>
      </c>
      <c r="F39" s="40">
        <f>(E39*0.0092)</f>
        <v>0.4048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109" t="s">
        <v>113</v>
      </c>
      <c r="B40" s="36" t="s">
        <v>114</v>
      </c>
      <c r="C40" s="39">
        <v>3</v>
      </c>
      <c r="D40" s="111">
        <v>6.24</v>
      </c>
      <c r="E40" s="40">
        <f>(C40*D40)</f>
        <v>18.72</v>
      </c>
      <c r="F40" s="40">
        <f>(E40*0.0092)</f>
        <v>0.172224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121</v>
      </c>
      <c r="B44" s="36" t="s">
        <v>112</v>
      </c>
      <c r="C44" s="39">
        <v>4.5</v>
      </c>
      <c r="D44" s="39">
        <v>2.66</v>
      </c>
      <c r="E44" s="40">
        <f>(C44*D44)*2</f>
        <v>23.94</v>
      </c>
      <c r="F44" s="40">
        <f>(E44*0.0092)</f>
        <v>0.220248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6"/>
      <c r="I47" s="56"/>
      <c r="J47" s="56"/>
      <c r="K47" s="56"/>
      <c r="L47" s="3"/>
    </row>
    <row r="48" spans="1:12" ht="12.75">
      <c r="A48" s="43" t="s">
        <v>68</v>
      </c>
      <c r="B48" s="36"/>
      <c r="C48" s="39"/>
      <c r="D48" s="39"/>
      <c r="E48" s="40"/>
      <c r="F48" s="40"/>
      <c r="G48" s="28"/>
      <c r="H48" s="5" t="s">
        <v>68</v>
      </c>
      <c r="I48" s="2"/>
      <c r="J48" s="3"/>
      <c r="K48" s="3"/>
      <c r="L48" s="3"/>
    </row>
    <row r="49" spans="1:12" ht="12.75">
      <c r="A49" s="41" t="s">
        <v>126</v>
      </c>
      <c r="B49" s="36" t="s">
        <v>112</v>
      </c>
      <c r="C49" s="39">
        <v>13.2</v>
      </c>
      <c r="D49" s="39">
        <v>3.09</v>
      </c>
      <c r="E49" s="40">
        <f>(C49*D49)*2</f>
        <v>81.576</v>
      </c>
      <c r="F49" s="40">
        <f>(E49*0.0092)</f>
        <v>0.7504991999999999</v>
      </c>
      <c r="G49" s="28"/>
      <c r="H49" s="30"/>
      <c r="I49" s="30"/>
      <c r="J49" s="30"/>
      <c r="K49" s="30"/>
      <c r="L49" s="3">
        <f>(J49*K49)</f>
        <v>0</v>
      </c>
    </row>
    <row r="50" spans="1:12" ht="12.75">
      <c r="A50" s="41" t="s">
        <v>127</v>
      </c>
      <c r="B50" s="36" t="s">
        <v>128</v>
      </c>
      <c r="C50" s="39">
        <v>0.17</v>
      </c>
      <c r="D50" s="39">
        <v>38</v>
      </c>
      <c r="E50" s="40">
        <f>(C50*D50)*2</f>
        <v>12.920000000000002</v>
      </c>
      <c r="F50" s="40">
        <f>(E50*0.0092)</f>
        <v>0.11886400000000001</v>
      </c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2" customFormat="1" ht="12.75">
      <c r="A52" s="109"/>
      <c r="B52" s="110"/>
      <c r="C52" s="111"/>
      <c r="D52" s="111"/>
      <c r="E52" s="46"/>
      <c r="F52" s="46"/>
      <c r="G52" s="112"/>
      <c r="H52" s="56"/>
      <c r="I52" s="56"/>
      <c r="J52" s="56"/>
      <c r="K52" s="56"/>
      <c r="L52" s="113"/>
    </row>
    <row r="53" spans="1:12" ht="12.75">
      <c r="A53" s="43" t="s">
        <v>96</v>
      </c>
      <c r="B53" s="36"/>
      <c r="C53" s="39"/>
      <c r="D53" s="39"/>
      <c r="E53" s="40"/>
      <c r="F53" s="40"/>
      <c r="G53" s="28"/>
      <c r="H53" s="5" t="s">
        <v>96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129</v>
      </c>
      <c r="B55" s="36"/>
      <c r="C55" s="39">
        <v>0</v>
      </c>
      <c r="D55" s="39">
        <v>0</v>
      </c>
      <c r="E55" s="40">
        <f>(C55*D55)</f>
        <v>0</v>
      </c>
      <c r="F55" s="40">
        <f>(E55*0.0092)</f>
        <v>0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5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5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2" customFormat="1" ht="12.75">
      <c r="A58" s="109"/>
      <c r="B58" s="110"/>
      <c r="C58" s="111"/>
      <c r="D58" s="111"/>
      <c r="E58" s="46"/>
      <c r="F58" s="46"/>
      <c r="G58" s="112"/>
      <c r="H58" s="119"/>
      <c r="I58" s="120"/>
      <c r="J58" s="120"/>
      <c r="K58" s="120"/>
      <c r="L58" s="113"/>
    </row>
    <row r="59" spans="1:12" s="82" customFormat="1" ht="12.75">
      <c r="A59" s="43" t="s">
        <v>97</v>
      </c>
      <c r="B59" s="110"/>
      <c r="C59" s="111"/>
      <c r="D59" s="111"/>
      <c r="E59" s="46"/>
      <c r="F59" s="46"/>
      <c r="G59" s="112"/>
      <c r="H59" s="43" t="s">
        <v>97</v>
      </c>
      <c r="I59" s="56"/>
      <c r="J59" s="56"/>
      <c r="K59" s="56"/>
      <c r="L59" s="113"/>
    </row>
    <row r="60" spans="1:12" ht="12.75">
      <c r="A60" s="41" t="s">
        <v>66</v>
      </c>
      <c r="B60" s="36" t="s">
        <v>62</v>
      </c>
      <c r="C60" s="39">
        <v>70</v>
      </c>
      <c r="D60" s="39">
        <v>10</v>
      </c>
      <c r="E60" s="40">
        <f>(C60*D60)</f>
        <v>700</v>
      </c>
      <c r="F60" s="40">
        <f>(E60*0.0092)</f>
        <v>6.4399999999999995</v>
      </c>
      <c r="G60" s="28"/>
      <c r="H60" s="41" t="s">
        <v>66</v>
      </c>
      <c r="I60" s="36" t="s">
        <v>62</v>
      </c>
      <c r="J60" s="30"/>
      <c r="K60" s="30"/>
      <c r="L60" s="3">
        <f>(J60*K60)</f>
        <v>0</v>
      </c>
    </row>
    <row r="61" spans="1:12" ht="12.75">
      <c r="A61" s="41" t="s">
        <v>61</v>
      </c>
      <c r="B61" s="36" t="s">
        <v>65</v>
      </c>
      <c r="C61" s="39">
        <v>12</v>
      </c>
      <c r="D61" s="39">
        <v>6.42</v>
      </c>
      <c r="E61" s="40">
        <f>(C61*D61)</f>
        <v>77.03999999999999</v>
      </c>
      <c r="F61" s="40">
        <f>(E61*0.0092)</f>
        <v>0.708768</v>
      </c>
      <c r="G61" s="28"/>
      <c r="H61" s="41" t="s">
        <v>61</v>
      </c>
      <c r="I61" s="36" t="s">
        <v>65</v>
      </c>
      <c r="J61" s="30"/>
      <c r="K61" s="30"/>
      <c r="L61" s="3">
        <f>(J61*K61)</f>
        <v>0</v>
      </c>
    </row>
    <row r="62" spans="1:12" ht="12.75">
      <c r="A62" s="41" t="s">
        <v>84</v>
      </c>
      <c r="B62" s="36" t="s">
        <v>62</v>
      </c>
      <c r="C62" s="39">
        <v>40</v>
      </c>
      <c r="D62" s="39">
        <v>10</v>
      </c>
      <c r="E62" s="40">
        <f>(C62*D62)</f>
        <v>400</v>
      </c>
      <c r="F62" s="40">
        <f>(E62*0.0092)</f>
        <v>3.6799999999999997</v>
      </c>
      <c r="G62" s="28"/>
      <c r="H62" s="41" t="s">
        <v>85</v>
      </c>
      <c r="I62" s="36" t="s">
        <v>62</v>
      </c>
      <c r="J62" s="30"/>
      <c r="K62" s="30"/>
      <c r="L62" s="3">
        <f>(J62*K62)</f>
        <v>0</v>
      </c>
    </row>
    <row r="63" spans="1:12" ht="12.75">
      <c r="A63" s="41" t="s">
        <v>63</v>
      </c>
      <c r="B63" s="36" t="s">
        <v>64</v>
      </c>
      <c r="C63" s="39">
        <v>500</v>
      </c>
      <c r="D63" s="55">
        <v>0.56</v>
      </c>
      <c r="E63" s="40">
        <f>(C63*D63)</f>
        <v>280</v>
      </c>
      <c r="F63" s="40">
        <f>(E63*0.0092)</f>
        <v>2.576</v>
      </c>
      <c r="G63" s="28"/>
      <c r="H63" s="41" t="s">
        <v>63</v>
      </c>
      <c r="I63" s="36" t="s">
        <v>64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69</v>
      </c>
      <c r="B66" s="2" t="s">
        <v>10</v>
      </c>
      <c r="C66" s="3">
        <v>0</v>
      </c>
      <c r="D66" s="3">
        <v>10</v>
      </c>
      <c r="E66" s="58">
        <f>(C66*D66)</f>
        <v>0</v>
      </c>
      <c r="F66" s="40">
        <f>(E66*0.0092)</f>
        <v>0</v>
      </c>
      <c r="G66" s="28"/>
      <c r="H66" s="5" t="s">
        <v>69</v>
      </c>
      <c r="I66" s="2" t="s">
        <v>10</v>
      </c>
      <c r="J66" s="30"/>
      <c r="K66" s="30"/>
      <c r="L66" s="58">
        <f>(J66*K66)</f>
        <v>0</v>
      </c>
    </row>
    <row r="67" spans="1:12" ht="12.75">
      <c r="A67" s="5" t="s">
        <v>70</v>
      </c>
      <c r="B67" s="2"/>
      <c r="C67" s="57">
        <f>(E66)</f>
        <v>0</v>
      </c>
      <c r="D67" s="8">
        <v>0.0765</v>
      </c>
      <c r="E67" s="58">
        <f>(C67*D67)</f>
        <v>0</v>
      </c>
      <c r="F67" s="40">
        <f>(E67*0.0092)</f>
        <v>0</v>
      </c>
      <c r="G67" s="28"/>
      <c r="H67" s="5" t="s">
        <v>70</v>
      </c>
      <c r="I67" s="2"/>
      <c r="J67" s="57">
        <f>(L66)</f>
        <v>0</v>
      </c>
      <c r="K67" s="8">
        <v>0.0765</v>
      </c>
      <c r="L67" s="58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43" t="s">
        <v>41</v>
      </c>
      <c r="B70" s="36" t="s">
        <v>67</v>
      </c>
      <c r="C70" s="39">
        <v>2.06</v>
      </c>
      <c r="D70" s="39">
        <v>3.52</v>
      </c>
      <c r="E70" s="40">
        <f>(C70*D70)</f>
        <v>7.2512</v>
      </c>
      <c r="F70" s="40">
        <f>(E70*0.0092)</f>
        <v>0.06671104</v>
      </c>
      <c r="G70" s="28"/>
      <c r="H70" s="5" t="s">
        <v>41</v>
      </c>
      <c r="I70" s="36" t="s">
        <v>67</v>
      </c>
      <c r="J70" s="30"/>
      <c r="K70" s="30"/>
      <c r="L70" s="3">
        <f>(J70*K70)</f>
        <v>0</v>
      </c>
    </row>
    <row r="71" spans="1:12" ht="12.75">
      <c r="A71" s="43" t="s">
        <v>42</v>
      </c>
      <c r="B71" s="36" t="s">
        <v>67</v>
      </c>
      <c r="C71" s="39">
        <v>4.89</v>
      </c>
      <c r="D71" s="39">
        <v>3.21</v>
      </c>
      <c r="E71" s="40">
        <f>(C71*D71)</f>
        <v>15.6969</v>
      </c>
      <c r="F71" s="40">
        <f>(E71*0.0092)</f>
        <v>0.14441147999999998</v>
      </c>
      <c r="G71" s="28"/>
      <c r="H71" s="5" t="s">
        <v>42</v>
      </c>
      <c r="I71" s="36" t="s">
        <v>67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0</v>
      </c>
      <c r="D72" s="39">
        <v>0</v>
      </c>
      <c r="E72" s="40">
        <f>(C72*D72)</f>
        <v>0</v>
      </c>
      <c r="F72" s="40">
        <f>(E72*0.0092)</f>
        <v>0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86</v>
      </c>
      <c r="B73" s="36" t="s">
        <v>87</v>
      </c>
      <c r="C73" s="39">
        <v>0</v>
      </c>
      <c r="D73" s="39">
        <v>0</v>
      </c>
      <c r="E73" s="40">
        <f>(C73*D73)</f>
        <v>0</v>
      </c>
      <c r="F73" s="40">
        <f>(E73*0.0092)</f>
        <v>0</v>
      </c>
      <c r="G73" s="28"/>
      <c r="H73" s="43" t="s">
        <v>86</v>
      </c>
      <c r="I73" s="36" t="s">
        <v>87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3.442215</v>
      </c>
      <c r="E74" s="40">
        <f>(C74*D74)</f>
        <v>3.442215</v>
      </c>
      <c r="F74" s="40">
        <f>(E74*0.0092)</f>
        <v>0.031668378</v>
      </c>
      <c r="G74" s="28"/>
      <c r="H74" s="5" t="s">
        <v>16</v>
      </c>
      <c r="I74" s="2" t="s">
        <v>93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2.7</v>
      </c>
      <c r="E77" s="40">
        <f>(C77*D77)</f>
        <v>2.7</v>
      </c>
      <c r="F77" s="40">
        <f>(E77*0.0092)</f>
        <v>0.02484</v>
      </c>
      <c r="G77" s="28"/>
      <c r="H77" s="5" t="s">
        <v>46</v>
      </c>
      <c r="I77" s="2" t="s">
        <v>93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6.45</v>
      </c>
      <c r="E78" s="40">
        <f>(C78*D78)</f>
        <v>6.45</v>
      </c>
      <c r="F78" s="40">
        <f>(E78*0.0092)</f>
        <v>0.059340000000000004</v>
      </c>
      <c r="G78" s="28"/>
      <c r="H78" s="5" t="s">
        <v>47</v>
      </c>
      <c r="I78" s="2" t="s">
        <v>93</v>
      </c>
      <c r="J78" s="30"/>
      <c r="K78" s="30"/>
      <c r="L78" s="3">
        <f>(J78*K78)</f>
        <v>0</v>
      </c>
    </row>
    <row r="79" spans="1:12" ht="12.75">
      <c r="A79" s="43" t="s">
        <v>48</v>
      </c>
      <c r="B79" s="36" t="s">
        <v>1</v>
      </c>
      <c r="C79" s="39">
        <v>0</v>
      </c>
      <c r="D79" s="39">
        <v>0</v>
      </c>
      <c r="E79" s="40">
        <f>(C79*D79)</f>
        <v>0</v>
      </c>
      <c r="F79" s="40">
        <f>(E79*0.0092)</f>
        <v>0</v>
      </c>
      <c r="G79" s="28"/>
      <c r="H79" s="5" t="s">
        <v>48</v>
      </c>
      <c r="I79" s="2" t="s">
        <v>93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122</v>
      </c>
      <c r="I81" s="2" t="s">
        <v>93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106">
        <f>SUM(E29:E79)</f>
        <v>1985.3915149999998</v>
      </c>
      <c r="F83" s="46">
        <f>SUM(F29:F79)</f>
        <v>18.265601937999996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123">
        <f>(E83)</f>
        <v>1985.3915149999998</v>
      </c>
      <c r="D85" s="47">
        <v>0.0399</v>
      </c>
      <c r="E85" s="40">
        <f>(C85*D85)/2</f>
        <v>39.60856072425</v>
      </c>
      <c r="F85" s="40">
        <f>(E85*0.0092)</f>
        <v>0.36439875866309995</v>
      </c>
      <c r="G85" s="28"/>
      <c r="H85" s="4" t="s">
        <v>7</v>
      </c>
      <c r="I85" s="2" t="s">
        <v>93</v>
      </c>
      <c r="J85" s="104"/>
      <c r="K85" s="81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0" t="s">
        <v>109</v>
      </c>
      <c r="I86" s="2"/>
      <c r="J86" s="23"/>
      <c r="K86" s="79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08" t="s">
        <v>104</v>
      </c>
      <c r="B88" s="36"/>
      <c r="C88" s="39"/>
      <c r="D88" s="47"/>
      <c r="E88" s="116">
        <f>SUM(E83:E87)</f>
        <v>2025.0000757242499</v>
      </c>
      <c r="F88" s="50">
        <f>SUM(F83:F85)</f>
        <v>18.630000696663096</v>
      </c>
      <c r="G88" s="28"/>
      <c r="H88" s="108" t="s">
        <v>105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120</v>
      </c>
      <c r="B90" s="36"/>
      <c r="C90" s="39"/>
      <c r="D90" s="47"/>
      <c r="E90" s="50">
        <f>(E88/C20)</f>
        <v>5.785714502069285</v>
      </c>
      <c r="F90" s="50">
        <f>(F88)/(C20*0.0092)</f>
        <v>5.785714502069285</v>
      </c>
      <c r="G90" s="28"/>
      <c r="H90" s="48" t="s">
        <v>120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5" t="s">
        <v>2</v>
      </c>
      <c r="C94" s="117" t="s">
        <v>3</v>
      </c>
      <c r="D94" s="117" t="s">
        <v>4</v>
      </c>
      <c r="E94" s="116" t="s">
        <v>5</v>
      </c>
      <c r="F94" s="12" t="s">
        <v>89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5"/>
      <c r="C95" s="117" t="s">
        <v>90</v>
      </c>
      <c r="D95" s="117" t="s">
        <v>91</v>
      </c>
      <c r="E95" s="116" t="s">
        <v>6</v>
      </c>
      <c r="F95" s="116" t="s">
        <v>116</v>
      </c>
      <c r="G95" s="27"/>
      <c r="H95" s="6"/>
      <c r="I95" s="12"/>
      <c r="J95" s="12"/>
      <c r="K95" s="12" t="s">
        <v>91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95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(E97*0.0092)</f>
        <v>0</v>
      </c>
      <c r="G97" s="28"/>
      <c r="H97" s="7" t="s">
        <v>117</v>
      </c>
      <c r="I97" s="2" t="s">
        <v>49</v>
      </c>
      <c r="J97" s="30"/>
      <c r="K97" s="81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60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(E99*0.0092)</f>
        <v>1.13712</v>
      </c>
      <c r="G99" s="28"/>
      <c r="H99" s="7" t="s">
        <v>60</v>
      </c>
      <c r="I99" s="2" t="s">
        <v>93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3"/>
      <c r="K100" s="53"/>
      <c r="L100" s="3"/>
    </row>
    <row r="101" spans="1:12" ht="12.75">
      <c r="A101" s="49" t="s">
        <v>9</v>
      </c>
      <c r="B101" s="36" t="s">
        <v>10</v>
      </c>
      <c r="C101" s="39">
        <v>2.73</v>
      </c>
      <c r="D101" s="39">
        <v>10</v>
      </c>
      <c r="E101" s="40">
        <f>(C101*D101)</f>
        <v>27.3</v>
      </c>
      <c r="F101" s="40">
        <f>(E101*0.0092)</f>
        <v>0.25116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6.29</v>
      </c>
      <c r="E104" s="40">
        <f>(C104*D104)</f>
        <v>6.29</v>
      </c>
      <c r="F104" s="40">
        <f>(E104*0.0092)</f>
        <v>0.057868</v>
      </c>
      <c r="G104" s="28"/>
      <c r="H104" s="5" t="s">
        <v>46</v>
      </c>
      <c r="I104" s="2" t="s">
        <v>93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45">
        <v>7.27</v>
      </c>
      <c r="E105" s="40">
        <f>(C105*D105)</f>
        <v>7.27</v>
      </c>
      <c r="F105" s="40">
        <f>(E105*0.0092)</f>
        <v>0.066884</v>
      </c>
      <c r="G105" s="28"/>
      <c r="H105" s="5" t="s">
        <v>47</v>
      </c>
      <c r="I105" s="2" t="s">
        <v>93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0</v>
      </c>
      <c r="D106" s="39">
        <v>0</v>
      </c>
      <c r="E106" s="40">
        <f>(C106*D106)</f>
        <v>0</v>
      </c>
      <c r="F106" s="40">
        <f>(E106*0.0092)</f>
        <v>0</v>
      </c>
      <c r="G106" s="28"/>
      <c r="H106" s="5" t="s">
        <v>48</v>
      </c>
      <c r="I106" s="2" t="s">
        <v>93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8.15</v>
      </c>
      <c r="E109" s="40">
        <f>(C109*D109)</f>
        <v>8.15</v>
      </c>
      <c r="F109" s="40">
        <f>(E109*0.0092)</f>
        <v>0.07498</v>
      </c>
      <c r="G109" s="28"/>
      <c r="H109" s="5" t="s">
        <v>46</v>
      </c>
      <c r="I109" s="2" t="s">
        <v>93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11.42</v>
      </c>
      <c r="E110" s="40">
        <f>(C110*D110)</f>
        <v>11.42</v>
      </c>
      <c r="F110" s="40">
        <f>(E110*0.0092)</f>
        <v>0.10506399999999999</v>
      </c>
      <c r="G110" s="28"/>
      <c r="H110" s="5" t="s">
        <v>47</v>
      </c>
      <c r="I110" s="2" t="s">
        <v>93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0</v>
      </c>
      <c r="D111" s="39">
        <v>0</v>
      </c>
      <c r="E111" s="40">
        <f>(C111*D111)</f>
        <v>0</v>
      </c>
      <c r="F111" s="40">
        <f>(E111*0.0092)</f>
        <v>0</v>
      </c>
      <c r="G111" s="28"/>
      <c r="H111" s="5" t="s">
        <v>48</v>
      </c>
      <c r="I111" s="2" t="s">
        <v>93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08" t="s">
        <v>12</v>
      </c>
      <c r="B113" s="36"/>
      <c r="C113" s="36"/>
      <c r="D113" s="36"/>
      <c r="E113" s="50">
        <f>SUM(E97:E112)</f>
        <v>184.03</v>
      </c>
      <c r="F113" s="50">
        <f>SUM(F97:F112)</f>
        <v>1.693076</v>
      </c>
      <c r="G113" s="28"/>
      <c r="H113" s="108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116">
        <f>(E88+E113)</f>
        <v>2209.03007572425</v>
      </c>
      <c r="F115" s="50">
        <f>(F88+F113)</f>
        <v>20.323076696663097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99</v>
      </c>
      <c r="B117" s="2"/>
      <c r="C117" s="2"/>
      <c r="D117" s="2"/>
      <c r="E117" s="124">
        <f>(E22-E88)</f>
        <v>2017.4999242757506</v>
      </c>
      <c r="F117" s="15">
        <f>(F22-F88)</f>
        <v>18.560999303336907</v>
      </c>
      <c r="G117" s="29"/>
      <c r="H117" s="1" t="s">
        <v>99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100</v>
      </c>
      <c r="B119" s="36"/>
      <c r="C119" s="36"/>
      <c r="D119" s="36"/>
      <c r="E119" s="116">
        <f>(E22-E115)</f>
        <v>1833.4699242757506</v>
      </c>
      <c r="F119" s="50">
        <f>(F22-F115)</f>
        <v>16.867923303336905</v>
      </c>
      <c r="G119" s="29"/>
      <c r="H119" s="1" t="s">
        <v>100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0"/>
      <c r="I120" s="2"/>
      <c r="J120" s="2"/>
      <c r="K120" s="2"/>
      <c r="L120" s="10"/>
    </row>
    <row r="121" spans="1:12" ht="12.75">
      <c r="A121" s="1" t="s">
        <v>71</v>
      </c>
      <c r="B121" s="36" t="s">
        <v>115</v>
      </c>
      <c r="C121" s="2"/>
      <c r="D121" s="2"/>
      <c r="E121" s="15">
        <f>(E115/C20)</f>
        <v>6.3115145020692855</v>
      </c>
      <c r="F121" s="15">
        <f>(F115)/(C20*0.0092)</f>
        <v>6.3115145020692855</v>
      </c>
      <c r="G121" s="29"/>
      <c r="H121" s="60" t="s">
        <v>71</v>
      </c>
      <c r="I121" s="36" t="s">
        <v>115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7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7"/>
      <c r="G123" s="15"/>
      <c r="H123" s="24"/>
      <c r="I123" s="36"/>
      <c r="J123" s="2"/>
      <c r="K123" s="2"/>
      <c r="L123" s="10"/>
    </row>
    <row r="124" spans="1:12" ht="14.25">
      <c r="A124" s="59" t="s">
        <v>123</v>
      </c>
      <c r="B124" s="2"/>
      <c r="C124" s="2"/>
      <c r="D124" s="2"/>
      <c r="E124" s="15"/>
      <c r="F124" s="15"/>
      <c r="G124" s="15"/>
      <c r="H124" s="1"/>
      <c r="I124" s="2"/>
      <c r="J124" s="2"/>
      <c r="K124" s="2"/>
      <c r="L124" s="10"/>
    </row>
    <row r="125" spans="1:12" ht="12.75">
      <c r="A125" s="14" t="s">
        <v>80</v>
      </c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8" ht="12.75">
      <c r="A126" s="105" t="s">
        <v>132</v>
      </c>
      <c r="B126" s="2"/>
      <c r="C126" s="2"/>
      <c r="D126" s="2"/>
      <c r="E126" s="3"/>
      <c r="F126" s="3"/>
      <c r="G126" s="3"/>
      <c r="H126" s="1"/>
    </row>
    <row r="127" spans="1:8" ht="12.75">
      <c r="A127" s="125"/>
      <c r="B127" s="2"/>
      <c r="C127" s="2"/>
      <c r="D127" s="2"/>
      <c r="E127" s="3"/>
      <c r="F127" s="3"/>
      <c r="G127" s="3"/>
      <c r="H127" s="1"/>
    </row>
    <row r="128" spans="1:8" ht="12.75">
      <c r="A128" s="14" t="s">
        <v>133</v>
      </c>
      <c r="B128" s="2"/>
      <c r="C128" s="2"/>
      <c r="D128" s="2"/>
      <c r="E128" s="3"/>
      <c r="F128" s="3"/>
      <c r="G128" s="3"/>
      <c r="H128" s="1"/>
    </row>
    <row r="129" ht="12.75">
      <c r="A129" s="14"/>
    </row>
    <row r="130" spans="1:2" ht="12.75">
      <c r="A130" s="14" t="s">
        <v>135</v>
      </c>
      <c r="B130" s="2"/>
    </row>
    <row r="131" spans="1:2" ht="12.75">
      <c r="A131" t="s">
        <v>32</v>
      </c>
      <c r="B131" s="2"/>
    </row>
  </sheetData>
  <sheetProtection password="C610" sheet="1"/>
  <hyperlinks>
    <hyperlink ref="A126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W39" sqref="W39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6" t="s">
        <v>134</v>
      </c>
    </row>
    <row r="9" spans="5:14" ht="15.75">
      <c r="E9" s="128" t="s">
        <v>53</v>
      </c>
      <c r="F9" s="128"/>
      <c r="M9" s="128" t="s">
        <v>54</v>
      </c>
      <c r="N9" s="128"/>
    </row>
    <row r="10" spans="5:16" s="82" customFormat="1" ht="12.75" customHeight="1">
      <c r="E10" s="83"/>
      <c r="L10" s="84"/>
      <c r="M10" s="85"/>
      <c r="N10" s="84"/>
      <c r="O10" s="84"/>
      <c r="P10" s="84"/>
    </row>
    <row r="11" spans="3:16" ht="12.75">
      <c r="C11" s="1"/>
      <c r="D11" s="1"/>
      <c r="E11" s="127" t="s">
        <v>101</v>
      </c>
      <c r="F11" s="127"/>
      <c r="G11" s="1"/>
      <c r="H11" s="1"/>
      <c r="K11" s="1"/>
      <c r="L11" s="12"/>
      <c r="M11" s="127" t="s">
        <v>101</v>
      </c>
      <c r="N11" s="127"/>
      <c r="O11" s="12"/>
      <c r="P11" s="12"/>
    </row>
    <row r="12" spans="3:16" ht="12.75">
      <c r="C12" s="114" t="s">
        <v>73</v>
      </c>
      <c r="D12" s="114"/>
      <c r="E12" s="114"/>
      <c r="F12" s="114"/>
      <c r="G12" s="114"/>
      <c r="H12" s="114"/>
      <c r="K12" s="1" t="s">
        <v>103</v>
      </c>
      <c r="L12" s="12"/>
      <c r="M12" s="12"/>
      <c r="N12" s="12"/>
      <c r="O12" s="12"/>
      <c r="P12" s="12"/>
    </row>
    <row r="13" spans="3:16" ht="12.75">
      <c r="C13" s="1"/>
      <c r="D13" s="1"/>
      <c r="E13" s="127" t="s">
        <v>118</v>
      </c>
      <c r="F13" s="127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5">
        <v>-0.2</v>
      </c>
      <c r="E15" s="65">
        <v>-0.1</v>
      </c>
      <c r="F15" s="12" t="s">
        <v>4</v>
      </c>
      <c r="G15" s="68" t="s">
        <v>81</v>
      </c>
      <c r="H15" s="68" t="s">
        <v>82</v>
      </c>
      <c r="L15" s="65">
        <v>-0.2</v>
      </c>
      <c r="M15" s="65">
        <v>-0.1</v>
      </c>
      <c r="N15" s="12" t="s">
        <v>4</v>
      </c>
      <c r="O15" s="68" t="s">
        <v>81</v>
      </c>
      <c r="P15" s="68" t="s">
        <v>82</v>
      </c>
    </row>
    <row r="16" spans="1:16" ht="13.5" thickBot="1">
      <c r="A16" s="61"/>
      <c r="D16" s="74">
        <f>ROUND((F16*0.8),2)</f>
        <v>9.24</v>
      </c>
      <c r="E16" s="73">
        <f>ROUND((F16*0.9),2)</f>
        <v>10.4</v>
      </c>
      <c r="F16" s="73">
        <f>Budget!D20</f>
        <v>11.55</v>
      </c>
      <c r="G16" s="73">
        <f>ROUND((F16*1.1),2)</f>
        <v>12.71</v>
      </c>
      <c r="H16" s="75">
        <f>ROUND((F16*1.2),2)</f>
        <v>13.86</v>
      </c>
      <c r="L16" s="74">
        <f>ROUND((N16*0.8),2)</f>
        <v>0</v>
      </c>
      <c r="M16" s="73">
        <f>ROUND((N16*0.9),2)</f>
        <v>0</v>
      </c>
      <c r="N16" s="73">
        <f>Budget!K20</f>
        <v>0</v>
      </c>
      <c r="O16" s="73">
        <f>ROUND((N16*1.1),2)</f>
        <v>0</v>
      </c>
      <c r="P16" s="75">
        <f>ROUND((N16*1.2),2)</f>
        <v>0</v>
      </c>
    </row>
    <row r="17" spans="1:16" ht="12.75">
      <c r="A17" s="61"/>
      <c r="B17" s="66">
        <v>-0.2</v>
      </c>
      <c r="C17" s="70">
        <f>(0.8*C19)</f>
        <v>2.576</v>
      </c>
      <c r="D17" s="86">
        <f>(D16*C17)-Budget!F115</f>
        <v>3.479163303336904</v>
      </c>
      <c r="E17" s="87">
        <f>(E16*C17)-Budget!F115</f>
        <v>6.467323303336904</v>
      </c>
      <c r="F17" s="87">
        <f>(F16*C17)-Budget!F115</f>
        <v>9.429723303336907</v>
      </c>
      <c r="G17" s="87">
        <f>(G16*C17)-Budget!F115</f>
        <v>12.417883303336904</v>
      </c>
      <c r="H17" s="88">
        <f>(H16*C17)-Budget!F115</f>
        <v>15.380283303336899</v>
      </c>
      <c r="J17" s="66">
        <v>-0.2</v>
      </c>
      <c r="K17" s="70">
        <f>(0.8*K19)</f>
        <v>0</v>
      </c>
      <c r="L17" s="86">
        <f>(L16*K17)-Budget!L115</f>
        <v>0</v>
      </c>
      <c r="M17" s="87">
        <f>(M16*K17)-Budget!L115</f>
        <v>0</v>
      </c>
      <c r="N17" s="87">
        <f>(N16*K17)-Budget!L115</f>
        <v>0</v>
      </c>
      <c r="O17" s="87">
        <f>(O16*K17)-Budget!L115</f>
        <v>0</v>
      </c>
      <c r="P17" s="88">
        <f>(P16*K17)-Budget!L115</f>
        <v>0</v>
      </c>
    </row>
    <row r="18" spans="1:16" ht="12.75">
      <c r="A18" s="4"/>
      <c r="B18" s="66">
        <v>-0.1</v>
      </c>
      <c r="C18" s="71">
        <f>(0.9*C19)</f>
        <v>2.8979999999999997</v>
      </c>
      <c r="D18" s="89">
        <f>(D16*C18)-Budget!F115</f>
        <v>6.454443303336902</v>
      </c>
      <c r="E18" s="90">
        <f>(E16*C18)-Budget!F115</f>
        <v>9.816123303336902</v>
      </c>
      <c r="F18" s="90">
        <f>(F16*C18)-Budget!F115</f>
        <v>13.1488233033369</v>
      </c>
      <c r="G18" s="90">
        <f>(G16*C18)-Budget!F115</f>
        <v>16.5105033033369</v>
      </c>
      <c r="H18" s="91">
        <f>(H16*C18)-Budget!F115</f>
        <v>19.843203303336896</v>
      </c>
      <c r="J18" s="66">
        <v>-0.1</v>
      </c>
      <c r="K18" s="71">
        <f>(0.9*K19)</f>
        <v>0</v>
      </c>
      <c r="L18" s="89">
        <f>(L16*K18)-Budget!L115</f>
        <v>0</v>
      </c>
      <c r="M18" s="90">
        <f>(M16*K18)-Budget!L115</f>
        <v>0</v>
      </c>
      <c r="N18" s="90">
        <f>(N16*K18)-Budget!L115</f>
        <v>0</v>
      </c>
      <c r="O18" s="90">
        <f>(O16*K18)-Budget!L115</f>
        <v>0</v>
      </c>
      <c r="P18" s="91">
        <f>(P16*K18)-Budget!L115</f>
        <v>0</v>
      </c>
    </row>
    <row r="19" spans="1:16" ht="12.75">
      <c r="A19" s="61"/>
      <c r="B19" s="6" t="s">
        <v>74</v>
      </c>
      <c r="C19" s="71">
        <f>(Budget!C20*0.0092)</f>
        <v>3.2199999999999998</v>
      </c>
      <c r="D19" s="89">
        <f>(D16*C19)-Budget!F115</f>
        <v>9.4297233033369</v>
      </c>
      <c r="E19" s="90">
        <f>(E16*C19)-Budget!F115</f>
        <v>13.164923303336902</v>
      </c>
      <c r="F19" s="90">
        <f>(F16*C19)-Budget!F115</f>
        <v>16.867923303336905</v>
      </c>
      <c r="G19" s="90">
        <f>(G16*C19)-Budget!F115</f>
        <v>20.603123303336904</v>
      </c>
      <c r="H19" s="91">
        <f>(H16*C19)-Budget!F115</f>
        <v>24.3061233033369</v>
      </c>
      <c r="J19" s="6" t="s">
        <v>74</v>
      </c>
      <c r="K19" s="71">
        <f>Budget!J20</f>
        <v>0</v>
      </c>
      <c r="L19" s="89">
        <f>(L16*K19)-Budget!L115</f>
        <v>0</v>
      </c>
      <c r="M19" s="90">
        <f>(M16*K19)-Budget!L115</f>
        <v>0</v>
      </c>
      <c r="N19" s="90">
        <f>(N16*K19)-Budget!L115</f>
        <v>0</v>
      </c>
      <c r="O19" s="90">
        <f>(O16*K19)-Budget!L115</f>
        <v>0</v>
      </c>
      <c r="P19" s="91">
        <f>(P16*K19)-Budget!L115</f>
        <v>0</v>
      </c>
    </row>
    <row r="20" spans="1:16" ht="12.75">
      <c r="A20" s="61"/>
      <c r="B20" s="69" t="s">
        <v>81</v>
      </c>
      <c r="C20" s="71">
        <f>(1.1*C19)</f>
        <v>3.542</v>
      </c>
      <c r="D20" s="89">
        <f>(D16*C20)-Budget!F115</f>
        <v>12.405003303336901</v>
      </c>
      <c r="E20" s="90">
        <f>(E16*C20)-Budget!F115</f>
        <v>16.5137233033369</v>
      </c>
      <c r="F20" s="90">
        <f>(F16*C20)-Budget!F115</f>
        <v>20.587023303336903</v>
      </c>
      <c r="G20" s="90">
        <f>(G16*C20)-Budget!F115</f>
        <v>24.6957433033369</v>
      </c>
      <c r="H20" s="91">
        <f>(H16*C20)-Budget!F115</f>
        <v>28.769043303336897</v>
      </c>
      <c r="J20" s="69" t="s">
        <v>81</v>
      </c>
      <c r="K20" s="71">
        <f>(1.1*K19)</f>
        <v>0</v>
      </c>
      <c r="L20" s="89">
        <f>(L16*K20)-Budget!L115</f>
        <v>0</v>
      </c>
      <c r="M20" s="90">
        <f>(M16*K20)-Budget!L115</f>
        <v>0</v>
      </c>
      <c r="N20" s="90">
        <f>(N16*K20)-Budget!L115</f>
        <v>0</v>
      </c>
      <c r="O20" s="90">
        <f>(O16*K20)-Budget!L115</f>
        <v>0</v>
      </c>
      <c r="P20" s="91">
        <f>(P16*K20)-Budget!L115</f>
        <v>0</v>
      </c>
    </row>
    <row r="21" spans="2:16" ht="13.5" thickBot="1">
      <c r="B21" s="69" t="s">
        <v>82</v>
      </c>
      <c r="C21" s="72">
        <f>(1.2*C19)</f>
        <v>3.8639999999999994</v>
      </c>
      <c r="D21" s="92">
        <f>(D16*C21)-Budget!F115</f>
        <v>15.380283303336899</v>
      </c>
      <c r="E21" s="93">
        <f>(E16*C21)-Budget!F115</f>
        <v>19.862523303336896</v>
      </c>
      <c r="F21" s="93">
        <f>(F16*C21)-Budget!F115</f>
        <v>24.3061233033369</v>
      </c>
      <c r="G21" s="93">
        <f>(G16*C21)-Budget!F115</f>
        <v>28.788363303336897</v>
      </c>
      <c r="H21" s="94">
        <f>(H16*C21)-Budget!F115</f>
        <v>33.2319633033369</v>
      </c>
      <c r="J21" s="69" t="s">
        <v>82</v>
      </c>
      <c r="K21" s="72">
        <f>(1.2*K19)</f>
        <v>0</v>
      </c>
      <c r="L21" s="92">
        <f>(L16*K21)-Budget!L115</f>
        <v>0</v>
      </c>
      <c r="M21" s="93">
        <f>(M16*K21)-Budget!L115</f>
        <v>0</v>
      </c>
      <c r="N21" s="93">
        <f>(N16*K21)-Budget!L115</f>
        <v>0</v>
      </c>
      <c r="O21" s="93">
        <f>(O16*K21)-Budget!L115</f>
        <v>0</v>
      </c>
      <c r="P21" s="94">
        <f>(P16*K21)-Budget!L115</f>
        <v>0</v>
      </c>
    </row>
    <row r="26" spans="3:14" ht="12.75">
      <c r="C26" s="1"/>
      <c r="D26" s="1"/>
      <c r="E26" s="127" t="s">
        <v>102</v>
      </c>
      <c r="F26" s="127"/>
      <c r="K26" s="1"/>
      <c r="L26" s="12"/>
      <c r="M26" s="127" t="s">
        <v>102</v>
      </c>
      <c r="N26" s="127"/>
    </row>
    <row r="27" spans="3:14" ht="12.75">
      <c r="C27" s="1" t="s">
        <v>72</v>
      </c>
      <c r="D27" s="1"/>
      <c r="E27" s="1"/>
      <c r="F27" s="1"/>
      <c r="K27" s="1" t="s">
        <v>72</v>
      </c>
      <c r="L27" s="12"/>
      <c r="M27" s="12"/>
      <c r="N27" s="12"/>
    </row>
    <row r="28" spans="3:16" ht="12.75">
      <c r="C28" s="1"/>
      <c r="D28" s="1"/>
      <c r="E28" s="127" t="s">
        <v>118</v>
      </c>
      <c r="F28" s="127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5">
        <v>-0.2</v>
      </c>
      <c r="E30" s="65">
        <v>-0.1</v>
      </c>
      <c r="F30" s="12" t="s">
        <v>4</v>
      </c>
      <c r="G30" s="68" t="s">
        <v>81</v>
      </c>
      <c r="H30" s="68" t="s">
        <v>82</v>
      </c>
      <c r="L30" s="65">
        <v>-0.2</v>
      </c>
      <c r="M30" s="65">
        <v>-0.1</v>
      </c>
      <c r="N30" s="12" t="s">
        <v>4</v>
      </c>
      <c r="O30" s="68" t="s">
        <v>81</v>
      </c>
      <c r="P30" s="68" t="s">
        <v>82</v>
      </c>
    </row>
    <row r="31" spans="4:16" ht="13.5" thickBot="1">
      <c r="D31" s="78">
        <f>ROUND((F31*0.8),2)</f>
        <v>9.24</v>
      </c>
      <c r="E31" s="73">
        <f>ROUND((F31*0.9),2)</f>
        <v>10.4</v>
      </c>
      <c r="F31" s="73">
        <f>Budget!D20</f>
        <v>11.55</v>
      </c>
      <c r="G31" s="76">
        <f>ROUND((F31*1.1),2)</f>
        <v>12.71</v>
      </c>
      <c r="H31" s="77">
        <f>ROUND((F31*1.2),2)</f>
        <v>13.86</v>
      </c>
      <c r="L31" s="78">
        <f>ROUND((N31*0.8),2)</f>
        <v>0</v>
      </c>
      <c r="M31" s="73">
        <f>ROUND((N31*0.9),2)</f>
        <v>0</v>
      </c>
      <c r="N31" s="73">
        <f>Budget!K20</f>
        <v>0</v>
      </c>
      <c r="O31" s="76">
        <f>ROUND((N31*1.1),2)</f>
        <v>0</v>
      </c>
      <c r="P31" s="77">
        <f>ROUND((N31*1.2),2)</f>
        <v>0</v>
      </c>
    </row>
    <row r="32" spans="2:16" ht="12.75">
      <c r="B32" s="66">
        <v>-0.2</v>
      </c>
      <c r="C32" s="62">
        <f>(0.8*C34)</f>
        <v>16.25846135733048</v>
      </c>
      <c r="D32" s="95">
        <f>(C32/D31)</f>
        <v>1.7595737399708309</v>
      </c>
      <c r="E32" s="96">
        <f>(C32/E31)</f>
        <v>1.5633135920510075</v>
      </c>
      <c r="F32" s="96">
        <f>(C32/F31)</f>
        <v>1.4076589919766647</v>
      </c>
      <c r="G32" s="96">
        <f>(C32/G31)</f>
        <v>1.2791865741408717</v>
      </c>
      <c r="H32" s="97">
        <f>(C32/H31)</f>
        <v>1.1730491599805541</v>
      </c>
      <c r="J32" s="66">
        <v>-0.2</v>
      </c>
      <c r="K32" s="62">
        <f>(0.8*K34)</f>
        <v>0</v>
      </c>
      <c r="L32" s="95" t="e">
        <f>(K32/L31)</f>
        <v>#DIV/0!</v>
      </c>
      <c r="M32" s="96" t="e">
        <f>(K32/M31)</f>
        <v>#DIV/0!</v>
      </c>
      <c r="N32" s="96" t="e">
        <f>(K32/N31)</f>
        <v>#DIV/0!</v>
      </c>
      <c r="O32" s="96" t="e">
        <f>(K32/O31)</f>
        <v>#DIV/0!</v>
      </c>
      <c r="P32" s="97" t="e">
        <f>(K32/P31)</f>
        <v>#DIV/0!</v>
      </c>
    </row>
    <row r="33" spans="2:16" ht="12.75">
      <c r="B33" s="66">
        <v>-0.1</v>
      </c>
      <c r="C33" s="63">
        <f>(0.9*C34)</f>
        <v>18.290769026996788</v>
      </c>
      <c r="D33" s="98">
        <f>(C33/D31)</f>
        <v>1.9795204574671847</v>
      </c>
      <c r="E33" s="99">
        <f>(C33/E31)</f>
        <v>1.7587277910573833</v>
      </c>
      <c r="F33" s="99">
        <f>(C33/F31)</f>
        <v>1.5836163659737479</v>
      </c>
      <c r="G33" s="99">
        <f>(C33/G31)</f>
        <v>1.4390848959084805</v>
      </c>
      <c r="H33" s="100">
        <f>(C33/H31)</f>
        <v>1.3196803049781234</v>
      </c>
      <c r="J33" s="66">
        <v>-0.1</v>
      </c>
      <c r="K33" s="63">
        <f>(0.9*K34)</f>
        <v>0</v>
      </c>
      <c r="L33" s="98" t="e">
        <f>(K33/L31)</f>
        <v>#DIV/0!</v>
      </c>
      <c r="M33" s="99" t="e">
        <f>(K33/M31)</f>
        <v>#DIV/0!</v>
      </c>
      <c r="N33" s="99" t="e">
        <f>(K33/N31)</f>
        <v>#DIV/0!</v>
      </c>
      <c r="O33" s="99" t="e">
        <f>(K33/O31)</f>
        <v>#DIV/0!</v>
      </c>
      <c r="P33" s="100" t="e">
        <f>(K33/P31)</f>
        <v>#DIV/0!</v>
      </c>
    </row>
    <row r="34" spans="2:16" ht="12.75">
      <c r="B34" s="6" t="s">
        <v>13</v>
      </c>
      <c r="C34" s="63">
        <f>Budget!F115</f>
        <v>20.323076696663097</v>
      </c>
      <c r="D34" s="98">
        <f>(C34/D31)</f>
        <v>2.1994671749635386</v>
      </c>
      <c r="E34" s="99">
        <f>(C34/E31)</f>
        <v>1.9541419900637593</v>
      </c>
      <c r="F34" s="99">
        <f>(C34/F31)</f>
        <v>1.7595737399708309</v>
      </c>
      <c r="G34" s="99">
        <f>(C34/G31)</f>
        <v>1.5989832176760894</v>
      </c>
      <c r="H34" s="100">
        <f>(C34/H31)</f>
        <v>1.4663114499756924</v>
      </c>
      <c r="J34" s="6" t="s">
        <v>13</v>
      </c>
      <c r="K34" s="63">
        <f>Budget!L115</f>
        <v>0</v>
      </c>
      <c r="L34" s="98" t="e">
        <f>(K34/L31)</f>
        <v>#DIV/0!</v>
      </c>
      <c r="M34" s="99" t="e">
        <f>(K34/M31)</f>
        <v>#DIV/0!</v>
      </c>
      <c r="N34" s="99" t="e">
        <f>(K34/N31)</f>
        <v>#DIV/0!</v>
      </c>
      <c r="O34" s="99" t="e">
        <f>(K34/O31)</f>
        <v>#DIV/0!</v>
      </c>
      <c r="P34" s="100" t="e">
        <f>(K34/P31)</f>
        <v>#DIV/0!</v>
      </c>
    </row>
    <row r="35" spans="2:16" ht="12.75">
      <c r="B35" s="69" t="s">
        <v>81</v>
      </c>
      <c r="C35" s="63">
        <f>(1.1*C34)</f>
        <v>22.35538436632941</v>
      </c>
      <c r="D35" s="98">
        <f>(C35/D31)</f>
        <v>2.4194138924598927</v>
      </c>
      <c r="E35" s="99">
        <f>(C35/E31)</f>
        <v>2.1495561890701356</v>
      </c>
      <c r="F35" s="99">
        <f>(C35/F31)</f>
        <v>1.935531113967914</v>
      </c>
      <c r="G35" s="99">
        <f>(C35/G31)</f>
        <v>1.7588815394436985</v>
      </c>
      <c r="H35" s="100">
        <f>(C35/H31)</f>
        <v>1.612942594973262</v>
      </c>
      <c r="J35" s="69" t="s">
        <v>81</v>
      </c>
      <c r="K35" s="63">
        <f>(1.1*K34)</f>
        <v>0</v>
      </c>
      <c r="L35" s="98" t="e">
        <f>(K35/L31)</f>
        <v>#DIV/0!</v>
      </c>
      <c r="M35" s="99" t="e">
        <f>(K35/M31)</f>
        <v>#DIV/0!</v>
      </c>
      <c r="N35" s="99" t="e">
        <f>(K35/N31)</f>
        <v>#DIV/0!</v>
      </c>
      <c r="O35" s="99" t="e">
        <f>(K35/O31)</f>
        <v>#DIV/0!</v>
      </c>
      <c r="P35" s="100" t="e">
        <f>(K35/P31)</f>
        <v>#DIV/0!</v>
      </c>
    </row>
    <row r="36" spans="2:16" ht="13.5" thickBot="1">
      <c r="B36" s="69" t="s">
        <v>82</v>
      </c>
      <c r="C36" s="64">
        <f>(1.2*C34)</f>
        <v>24.387692035995716</v>
      </c>
      <c r="D36" s="101">
        <f>(C36/D31)</f>
        <v>2.6393606099562463</v>
      </c>
      <c r="E36" s="102">
        <f>(C36/E31)</f>
        <v>2.344970388076511</v>
      </c>
      <c r="F36" s="102">
        <f>(C36/F31)</f>
        <v>2.111488487964997</v>
      </c>
      <c r="G36" s="102">
        <f>(C36/G31)</f>
        <v>1.9187798612113072</v>
      </c>
      <c r="H36" s="103">
        <f>(C36/H31)</f>
        <v>1.7595737399708309</v>
      </c>
      <c r="J36" s="69" t="s">
        <v>82</v>
      </c>
      <c r="K36" s="64">
        <f>(1.2*K34)</f>
        <v>0</v>
      </c>
      <c r="L36" s="101" t="e">
        <f>(K36/L31)</f>
        <v>#DIV/0!</v>
      </c>
      <c r="M36" s="102" t="e">
        <f>(K36/M31)</f>
        <v>#DIV/0!</v>
      </c>
      <c r="N36" s="102" t="e">
        <f>(K36/N31)</f>
        <v>#DIV/0!</v>
      </c>
      <c r="O36" s="102" t="e">
        <f>(K36/O31)</f>
        <v>#DIV/0!</v>
      </c>
      <c r="P36" s="103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32"/>
  <sheetViews>
    <sheetView zoomScale="85" zoomScaleNormal="85" zoomScalePageLayoutView="0" workbookViewId="0" topLeftCell="A1">
      <selection activeCell="G55" sqref="G55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6" t="s">
        <v>134</v>
      </c>
      <c r="B8" s="2"/>
    </row>
    <row r="9" spans="1:2" ht="15.75">
      <c r="A9" s="126" t="s">
        <v>52</v>
      </c>
      <c r="B9" s="2"/>
    </row>
    <row r="11" spans="1:10" ht="12.75">
      <c r="A11" s="12" t="s">
        <v>18</v>
      </c>
      <c r="B11" s="12" t="s">
        <v>19</v>
      </c>
      <c r="C11" s="12" t="s">
        <v>20</v>
      </c>
      <c r="D11" s="12" t="s">
        <v>21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2" t="s">
        <v>107</v>
      </c>
    </row>
    <row r="12" spans="1:10" ht="12.75">
      <c r="A12" s="12"/>
      <c r="B12" s="12"/>
      <c r="C12" s="12"/>
      <c r="D12" s="12"/>
      <c r="E12" s="12"/>
      <c r="F12" s="12"/>
      <c r="G12" s="12"/>
      <c r="H12" s="12" t="s">
        <v>27</v>
      </c>
      <c r="I12" s="12" t="s">
        <v>28</v>
      </c>
      <c r="J12" s="12" t="s">
        <v>119</v>
      </c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2"/>
    </row>
    <row r="14" spans="1:10" ht="12.75">
      <c r="A14" t="s">
        <v>77</v>
      </c>
      <c r="B14" s="7"/>
      <c r="C14" s="67">
        <v>0.18</v>
      </c>
      <c r="D14" s="67">
        <v>0.14</v>
      </c>
      <c r="E14" s="67">
        <v>0.55</v>
      </c>
      <c r="F14" s="67">
        <v>0.47</v>
      </c>
      <c r="G14" s="67">
        <v>0.06</v>
      </c>
      <c r="H14" s="3">
        <v>1</v>
      </c>
      <c r="I14" s="13">
        <f>SUM(C14:G14)*H14</f>
        <v>1.4000000000000001</v>
      </c>
      <c r="J14" s="118">
        <f>(I14*0.0092)</f>
        <v>0.01288</v>
      </c>
    </row>
    <row r="15" spans="1:10" ht="12.75">
      <c r="A15" t="s">
        <v>77</v>
      </c>
      <c r="B15" s="7"/>
      <c r="C15" s="67">
        <v>0.53</v>
      </c>
      <c r="D15" s="67">
        <v>0.41</v>
      </c>
      <c r="E15" s="67">
        <v>1.65</v>
      </c>
      <c r="F15" s="67">
        <v>1.4</v>
      </c>
      <c r="G15" s="67">
        <v>0.18</v>
      </c>
      <c r="H15" s="3">
        <v>3</v>
      </c>
      <c r="I15" s="13">
        <f>SUM(C15:G15)/H15</f>
        <v>1.39</v>
      </c>
      <c r="J15" s="118">
        <f aca="true" t="shared" si="0" ref="J15:J25">(I15*0.0092)</f>
        <v>0.012787999999999999</v>
      </c>
    </row>
    <row r="16" spans="1:10" ht="12.75">
      <c r="A16" s="14" t="s">
        <v>75</v>
      </c>
      <c r="B16" t="s">
        <v>76</v>
      </c>
      <c r="C16" s="13">
        <v>0.88</v>
      </c>
      <c r="D16" s="13">
        <v>0.6</v>
      </c>
      <c r="E16" s="13">
        <v>2.51</v>
      </c>
      <c r="F16" s="13">
        <v>2.65</v>
      </c>
      <c r="G16" s="13">
        <v>0.33</v>
      </c>
      <c r="H16" s="3">
        <v>1</v>
      </c>
      <c r="I16" s="13">
        <f>SUM(C16:G16)/H16</f>
        <v>6.97</v>
      </c>
      <c r="J16" s="118">
        <f t="shared" si="0"/>
        <v>0.064124</v>
      </c>
    </row>
    <row r="17" spans="1:10" ht="12.75">
      <c r="A17" t="s">
        <v>29</v>
      </c>
      <c r="B17" s="7" t="s">
        <v>110</v>
      </c>
      <c r="C17" s="67">
        <v>2.94</v>
      </c>
      <c r="D17" s="67">
        <v>2.78</v>
      </c>
      <c r="E17" s="67">
        <v>3.18</v>
      </c>
      <c r="F17" s="67">
        <v>2.45</v>
      </c>
      <c r="G17" s="67">
        <v>0.76</v>
      </c>
      <c r="H17" s="3">
        <v>1</v>
      </c>
      <c r="I17" s="13">
        <f>SUM(C17:G17)*H17</f>
        <v>12.110000000000001</v>
      </c>
      <c r="J17" s="118">
        <f t="shared" si="0"/>
        <v>0.11141200000000001</v>
      </c>
    </row>
    <row r="18" spans="1:10" ht="12.75">
      <c r="A18" t="s">
        <v>77</v>
      </c>
      <c r="B18" t="s">
        <v>94</v>
      </c>
      <c r="C18" s="13">
        <v>0.88</v>
      </c>
      <c r="D18" s="13">
        <v>0.51</v>
      </c>
      <c r="E18" s="13">
        <v>0.55</v>
      </c>
      <c r="F18" s="13">
        <v>0.42</v>
      </c>
      <c r="G18" s="13">
        <v>0.54</v>
      </c>
      <c r="H18" s="3">
        <v>1</v>
      </c>
      <c r="I18" s="13">
        <f>SUM(C18:G18)*H18</f>
        <v>2.9000000000000004</v>
      </c>
      <c r="J18" s="118">
        <f t="shared" si="0"/>
        <v>0.026680000000000002</v>
      </c>
    </row>
    <row r="19" spans="1:10" ht="12.75">
      <c r="A19" t="s">
        <v>77</v>
      </c>
      <c r="B19" t="s">
        <v>94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18">
        <f t="shared" si="0"/>
        <v>0.026680000000000002</v>
      </c>
    </row>
    <row r="20" spans="1:10" ht="12.75">
      <c r="A20" t="s">
        <v>77</v>
      </c>
      <c r="B20" t="s">
        <v>94</v>
      </c>
      <c r="C20" s="13">
        <v>1.76</v>
      </c>
      <c r="D20" s="13">
        <v>1.02</v>
      </c>
      <c r="E20" s="13">
        <v>1.09</v>
      </c>
      <c r="F20" s="13">
        <v>0.84</v>
      </c>
      <c r="G20" s="13">
        <v>1.07</v>
      </c>
      <c r="H20" s="3">
        <v>2</v>
      </c>
      <c r="I20" s="13">
        <f aca="true" t="shared" si="1" ref="I20:I25">SUM(C20:G20)/H20</f>
        <v>2.89</v>
      </c>
      <c r="J20" s="118">
        <f t="shared" si="0"/>
        <v>0.026588</v>
      </c>
    </row>
    <row r="21" spans="1:10" ht="12.75">
      <c r="A21" t="s">
        <v>77</v>
      </c>
      <c r="B21" t="s">
        <v>94</v>
      </c>
      <c r="C21" s="13">
        <v>1.76</v>
      </c>
      <c r="D21" s="13">
        <v>1.02</v>
      </c>
      <c r="E21" s="13">
        <v>1.09</v>
      </c>
      <c r="F21" s="13">
        <v>0.84</v>
      </c>
      <c r="G21" s="13">
        <v>1.07</v>
      </c>
      <c r="H21" s="3">
        <v>2</v>
      </c>
      <c r="I21" s="13">
        <f t="shared" si="1"/>
        <v>2.89</v>
      </c>
      <c r="J21" s="118">
        <f t="shared" si="0"/>
        <v>0.026588</v>
      </c>
    </row>
    <row r="22" spans="1:10" ht="12.75">
      <c r="A22" t="s">
        <v>77</v>
      </c>
      <c r="B22" t="s">
        <v>94</v>
      </c>
      <c r="C22" s="13">
        <v>1.76</v>
      </c>
      <c r="D22" s="13">
        <v>1.02</v>
      </c>
      <c r="E22" s="13">
        <v>1.09</v>
      </c>
      <c r="F22" s="13">
        <v>0.84</v>
      </c>
      <c r="G22" s="13">
        <v>1.07</v>
      </c>
      <c r="H22" s="3">
        <v>2</v>
      </c>
      <c r="I22" s="13">
        <f t="shared" si="1"/>
        <v>2.89</v>
      </c>
      <c r="J22" s="118">
        <f t="shared" si="0"/>
        <v>0.026588</v>
      </c>
    </row>
    <row r="23" spans="1:10" ht="12.75">
      <c r="A23" s="14" t="s">
        <v>75</v>
      </c>
      <c r="B23" t="s">
        <v>78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 t="shared" si="1"/>
        <v>16.88</v>
      </c>
      <c r="J23" s="118">
        <f t="shared" si="0"/>
        <v>0.155296</v>
      </c>
    </row>
    <row r="24" spans="1:13" ht="12.75">
      <c r="A24" s="14" t="s">
        <v>130</v>
      </c>
      <c r="B24" t="s">
        <v>131</v>
      </c>
      <c r="C24" s="13">
        <v>4.17</v>
      </c>
      <c r="D24" s="13">
        <v>3.06</v>
      </c>
      <c r="E24" s="13">
        <v>10.08</v>
      </c>
      <c r="F24" s="13">
        <v>7.77</v>
      </c>
      <c r="G24" s="13">
        <v>1.4</v>
      </c>
      <c r="H24" s="3">
        <v>2</v>
      </c>
      <c r="I24" s="13">
        <f t="shared" si="1"/>
        <v>13.24</v>
      </c>
      <c r="J24" s="118">
        <f t="shared" si="0"/>
        <v>0.121808</v>
      </c>
      <c r="M24" t="s">
        <v>17</v>
      </c>
    </row>
    <row r="25" spans="1:10" ht="12.75">
      <c r="A25" s="14" t="s">
        <v>106</v>
      </c>
      <c r="B25" t="s">
        <v>79</v>
      </c>
      <c r="C25" s="13">
        <v>0.18</v>
      </c>
      <c r="D25" s="13">
        <v>0.32</v>
      </c>
      <c r="E25" s="13">
        <v>0.61</v>
      </c>
      <c r="F25" s="13">
        <v>0.25</v>
      </c>
      <c r="G25" s="13">
        <v>0.03</v>
      </c>
      <c r="H25" s="3">
        <v>1</v>
      </c>
      <c r="I25" s="13">
        <f t="shared" si="1"/>
        <v>1.39</v>
      </c>
      <c r="J25" s="118">
        <f t="shared" si="0"/>
        <v>0.012787999999999999</v>
      </c>
    </row>
    <row r="26" spans="1:10" ht="12.75">
      <c r="A26" t="s">
        <v>30</v>
      </c>
      <c r="C26" s="13" t="s">
        <v>17</v>
      </c>
      <c r="D26" s="13"/>
      <c r="E26" s="13"/>
      <c r="F26" s="13">
        <f>SUM(F14:F25)*0.15</f>
        <v>3.4425</v>
      </c>
      <c r="G26" s="13"/>
      <c r="H26" s="13"/>
      <c r="I26" s="13"/>
      <c r="J26" s="118">
        <f>(F26*0.0092)</f>
        <v>0.031671</v>
      </c>
    </row>
    <row r="27" spans="3:9" ht="12.75">
      <c r="C27" s="13"/>
      <c r="D27" s="13"/>
      <c r="E27" s="13"/>
      <c r="F27" s="13"/>
      <c r="G27" s="13"/>
      <c r="H27" s="13"/>
      <c r="I27" s="13"/>
    </row>
    <row r="28" spans="1:10" ht="12.75">
      <c r="A28" t="s">
        <v>31</v>
      </c>
      <c r="C28" s="13">
        <f>SUM(C14:C25)</f>
        <v>19.57</v>
      </c>
      <c r="D28" s="13">
        <f>SUM(D14:D25)</f>
        <v>13.569999999999999</v>
      </c>
      <c r="E28" s="13">
        <f>SUM(E14:E25)</f>
        <v>27.299999999999997</v>
      </c>
      <c r="F28" s="13">
        <f>SUM(F14:F26)</f>
        <v>26.3925</v>
      </c>
      <c r="G28" s="13">
        <f>SUM(G14:G27)</f>
        <v>9.15</v>
      </c>
      <c r="H28" s="13"/>
      <c r="I28" s="13">
        <f>SUM(C28:G28)</f>
        <v>95.9825</v>
      </c>
      <c r="J28" s="118">
        <f>(I28*0.0092)</f>
        <v>0.883039</v>
      </c>
    </row>
    <row r="32" ht="12.75">
      <c r="P32" t="s">
        <v>17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6: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