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Groups\Agriculture\Faculty and Staff Folders\Bernhardt\Decision Tools\Enterprise Budgets\Dairy\"/>
    </mc:Choice>
  </mc:AlternateContent>
  <bookViews>
    <workbookView xWindow="0" yWindow="0" windowWidth="10190" windowHeight="7970" tabRatio="805" activeTab="3"/>
  </bookViews>
  <sheets>
    <sheet name="Title Page" sheetId="4" r:id="rId1"/>
    <sheet name="Enterprise Budget" sheetId="2" r:id="rId2"/>
    <sheet name="Mach and Bldg Cost calculator" sheetId="8" r:id="rId3"/>
    <sheet name="Feed Costs Calculator" sheetId="7" r:id="rId4"/>
    <sheet name="Note on Feed Costs" sheetId="11" r:id="rId5"/>
    <sheet name="Sensitivity 1" sheetId="10" r:id="rId6"/>
    <sheet name="Sensitivity 2" sheetId="12"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8" l="1"/>
  <c r="F39" i="8"/>
  <c r="F38" i="8"/>
  <c r="F37" i="8"/>
  <c r="F36" i="8"/>
  <c r="F35" i="8"/>
  <c r="F34" i="8"/>
  <c r="F33" i="8"/>
  <c r="F32" i="8"/>
  <c r="F31" i="8"/>
  <c r="F30" i="8"/>
  <c r="F29" i="8"/>
  <c r="F28" i="8"/>
  <c r="F27" i="8"/>
  <c r="F26" i="8"/>
  <c r="F25" i="8"/>
  <c r="F24" i="8"/>
  <c r="F23" i="8"/>
  <c r="F10" i="8"/>
  <c r="F11" i="8"/>
  <c r="F12" i="8"/>
  <c r="F13" i="8"/>
  <c r="F14" i="8"/>
  <c r="F15" i="8"/>
  <c r="F16" i="8"/>
  <c r="F17" i="8"/>
  <c r="F18" i="8"/>
  <c r="F19" i="8"/>
  <c r="F20" i="8"/>
  <c r="F21" i="8"/>
  <c r="F9" i="8"/>
  <c r="N6" i="8" l="1"/>
  <c r="K24" i="12"/>
  <c r="K25" i="12"/>
  <c r="K52" i="12"/>
  <c r="J40" i="12"/>
  <c r="K40" i="12" s="1"/>
  <c r="J14" i="12"/>
  <c r="J13" i="12"/>
  <c r="J12" i="12"/>
  <c r="J11" i="12"/>
  <c r="J20" i="12" s="1"/>
  <c r="J10" i="12"/>
  <c r="J9" i="12"/>
  <c r="J8" i="12"/>
  <c r="J7" i="12"/>
  <c r="J19" i="12" s="1"/>
  <c r="J6" i="12"/>
  <c r="J4" i="12"/>
  <c r="J3" i="12"/>
  <c r="J17" i="12" s="1"/>
  <c r="G61" i="12"/>
  <c r="G52" i="12"/>
  <c r="G46" i="12"/>
  <c r="G45" i="12"/>
  <c r="G25" i="12"/>
  <c r="G24" i="12"/>
  <c r="F36" i="12"/>
  <c r="F38" i="12"/>
  <c r="F27" i="12"/>
  <c r="F43" i="12" s="1"/>
  <c r="F44" i="12" s="1"/>
  <c r="F68" i="12" s="1"/>
  <c r="F20" i="12"/>
  <c r="F55" i="12" s="1"/>
  <c r="F19" i="12"/>
  <c r="F18" i="12"/>
  <c r="F17" i="12"/>
  <c r="F23" i="12" s="1"/>
  <c r="E21" i="12"/>
  <c r="G21" i="12" s="1"/>
  <c r="E22" i="12"/>
  <c r="G22" i="12" s="1"/>
  <c r="E59" i="12"/>
  <c r="G59" i="12" s="1"/>
  <c r="E58" i="12"/>
  <c r="G58" i="12" s="1"/>
  <c r="E56" i="12"/>
  <c r="G56" i="12" s="1"/>
  <c r="E53" i="12"/>
  <c r="G53" i="12" s="1"/>
  <c r="E51" i="12"/>
  <c r="G51" i="12" s="1"/>
  <c r="E50" i="12"/>
  <c r="G50" i="12" s="1"/>
  <c r="E49" i="12"/>
  <c r="G49" i="12" s="1"/>
  <c r="E48" i="12"/>
  <c r="G48" i="12" s="1"/>
  <c r="E47" i="12"/>
  <c r="G47" i="12" s="1"/>
  <c r="E42" i="12"/>
  <c r="G42" i="12" s="1"/>
  <c r="E41" i="12"/>
  <c r="G41" i="12" s="1"/>
  <c r="E40" i="12"/>
  <c r="G40" i="12" s="1"/>
  <c r="E39" i="12"/>
  <c r="G39" i="12" s="1"/>
  <c r="E37" i="12"/>
  <c r="G37" i="12" s="1"/>
  <c r="E35" i="12"/>
  <c r="G35" i="12" s="1"/>
  <c r="E34" i="12"/>
  <c r="G34" i="12" s="1"/>
  <c r="E33" i="12"/>
  <c r="G33" i="12" s="1"/>
  <c r="E32" i="12"/>
  <c r="G32" i="12" s="1"/>
  <c r="E31" i="12"/>
  <c r="G31" i="12" s="1"/>
  <c r="E30" i="12"/>
  <c r="J30" i="12" s="1"/>
  <c r="K30" i="12" s="1"/>
  <c r="E29" i="12"/>
  <c r="G29" i="12" s="1"/>
  <c r="E28" i="12"/>
  <c r="G28" i="12" s="1"/>
  <c r="E26" i="12"/>
  <c r="G26" i="12" s="1"/>
  <c r="E16" i="12"/>
  <c r="K16" i="12" s="1"/>
  <c r="K15" i="12"/>
  <c r="E14" i="12"/>
  <c r="G14" i="12" s="1"/>
  <c r="E13" i="12"/>
  <c r="G13" i="12" s="1"/>
  <c r="E12" i="12"/>
  <c r="G12" i="12" s="1"/>
  <c r="E11" i="12"/>
  <c r="G11" i="12" s="1"/>
  <c r="E10" i="12"/>
  <c r="G10" i="12" s="1"/>
  <c r="E9" i="12"/>
  <c r="G9" i="12" s="1"/>
  <c r="E8" i="12"/>
  <c r="G8" i="12" s="1"/>
  <c r="E7" i="12"/>
  <c r="G7" i="12" s="1"/>
  <c r="E6" i="12"/>
  <c r="G6" i="12" s="1"/>
  <c r="E5" i="12"/>
  <c r="K5" i="12" s="1"/>
  <c r="E4" i="12"/>
  <c r="G4" i="12" s="1"/>
  <c r="E3" i="12"/>
  <c r="G3" i="12" s="1"/>
  <c r="C38" i="10"/>
  <c r="E38" i="10"/>
  <c r="F38" i="10"/>
  <c r="A40" i="10"/>
  <c r="A42" i="10"/>
  <c r="A43" i="10"/>
  <c r="A39" i="10"/>
  <c r="B38" i="10"/>
  <c r="A19" i="10"/>
  <c r="A18" i="10"/>
  <c r="A17" i="10"/>
  <c r="A16" i="10"/>
  <c r="A15" i="10"/>
  <c r="F14" i="10"/>
  <c r="E14" i="10"/>
  <c r="D14" i="10"/>
  <c r="C14" i="10"/>
  <c r="B14" i="10"/>
  <c r="H33" i="10"/>
  <c r="O33" i="10" s="1"/>
  <c r="O43" i="10" s="1"/>
  <c r="H32" i="10"/>
  <c r="O32" i="10" s="1"/>
  <c r="O42" i="10" s="1"/>
  <c r="H30" i="10"/>
  <c r="O30" i="10" s="1"/>
  <c r="O40" i="10" s="1"/>
  <c r="H29" i="10"/>
  <c r="O29" i="10" s="1"/>
  <c r="O39" i="10" s="1"/>
  <c r="M28" i="10"/>
  <c r="M38" i="10" s="1"/>
  <c r="L28" i="10"/>
  <c r="S28" i="10" s="1"/>
  <c r="S38" i="10" s="1"/>
  <c r="J28" i="10"/>
  <c r="Q28" i="10" s="1"/>
  <c r="Q38" i="10" s="1"/>
  <c r="I28" i="10"/>
  <c r="P28" i="10" s="1"/>
  <c r="P38" i="10" s="1"/>
  <c r="A31" i="10"/>
  <c r="H31" i="10" s="1"/>
  <c r="O31" i="10" s="1"/>
  <c r="O41" i="10" s="1"/>
  <c r="D28" i="10"/>
  <c r="K28" i="10" s="1"/>
  <c r="R28" i="10" s="1"/>
  <c r="R38" i="10" s="1"/>
  <c r="K8" i="12" l="1"/>
  <c r="K12" i="12"/>
  <c r="K4" i="12"/>
  <c r="K9" i="12"/>
  <c r="K13" i="12"/>
  <c r="J32" i="12"/>
  <c r="K32" i="12" s="1"/>
  <c r="J49" i="12"/>
  <c r="K49" i="12" s="1"/>
  <c r="K22" i="12"/>
  <c r="J58" i="12"/>
  <c r="K58" i="12" s="1"/>
  <c r="J28" i="12"/>
  <c r="K28" i="12" s="1"/>
  <c r="K7" i="12"/>
  <c r="J39" i="12"/>
  <c r="K39" i="12" s="1"/>
  <c r="J31" i="12"/>
  <c r="K31" i="12" s="1"/>
  <c r="K10" i="12"/>
  <c r="G5" i="12"/>
  <c r="G30" i="12"/>
  <c r="J42" i="12"/>
  <c r="K42" i="12" s="1"/>
  <c r="J34" i="12"/>
  <c r="K34" i="12" s="1"/>
  <c r="J47" i="12"/>
  <c r="K47" i="12" s="1"/>
  <c r="J56" i="12"/>
  <c r="K56" i="12" s="1"/>
  <c r="J51" i="12"/>
  <c r="K51" i="12" s="1"/>
  <c r="K3" i="12"/>
  <c r="K21" i="12"/>
  <c r="F54" i="12"/>
  <c r="J26" i="12"/>
  <c r="K26" i="12" s="1"/>
  <c r="K11" i="12"/>
  <c r="J35" i="12"/>
  <c r="K35" i="12" s="1"/>
  <c r="J53" i="12"/>
  <c r="K53" i="12" s="1"/>
  <c r="J48" i="12"/>
  <c r="K48" i="12" s="1"/>
  <c r="K14" i="12"/>
  <c r="K6" i="12"/>
  <c r="J41" i="12"/>
  <c r="K41" i="12" s="1"/>
  <c r="J37" i="12"/>
  <c r="K37" i="12" s="1"/>
  <c r="J33" i="12"/>
  <c r="K33" i="12" s="1"/>
  <c r="J29" i="12"/>
  <c r="K29" i="12" s="1"/>
  <c r="J59" i="12"/>
  <c r="K59" i="12" s="1"/>
  <c r="J50" i="12"/>
  <c r="K50" i="12" s="1"/>
  <c r="J18" i="12"/>
  <c r="F57" i="12"/>
  <c r="F83" i="12"/>
  <c r="F76" i="12"/>
  <c r="F69" i="12"/>
  <c r="J23" i="12"/>
  <c r="J38" i="10"/>
  <c r="H39" i="10"/>
  <c r="K38" i="10"/>
  <c r="T28" i="10"/>
  <c r="T38" i="10" s="1"/>
  <c r="L38" i="10"/>
  <c r="H42" i="10"/>
  <c r="A41" i="10"/>
  <c r="D38" i="10"/>
  <c r="H41" i="10"/>
  <c r="I38" i="10"/>
  <c r="H43" i="10"/>
  <c r="H40" i="10"/>
  <c r="H6" i="10"/>
  <c r="H7" i="10"/>
  <c r="H8" i="10"/>
  <c r="H9" i="10"/>
  <c r="H10" i="10"/>
  <c r="I5" i="10"/>
  <c r="J5" i="10"/>
  <c r="K5" i="10"/>
  <c r="L5" i="10"/>
  <c r="M5" i="10"/>
  <c r="J83" i="12" l="1"/>
  <c r="F60" i="12"/>
  <c r="F84" i="12"/>
  <c r="F77" i="12"/>
  <c r="F85" i="12"/>
  <c r="F70" i="12"/>
  <c r="S5" i="10"/>
  <c r="S14" i="10" s="1"/>
  <c r="L14" i="10"/>
  <c r="O10" i="10"/>
  <c r="O19" i="10" s="1"/>
  <c r="H19" i="10"/>
  <c r="O6" i="10"/>
  <c r="O15" i="10" s="1"/>
  <c r="H15" i="10"/>
  <c r="R5" i="10"/>
  <c r="R14" i="10" s="1"/>
  <c r="K14" i="10"/>
  <c r="O9" i="10"/>
  <c r="O18" i="10" s="1"/>
  <c r="H18" i="10"/>
  <c r="Q5" i="10"/>
  <c r="Q14" i="10" s="1"/>
  <c r="J14" i="10"/>
  <c r="O8" i="10"/>
  <c r="O17" i="10" s="1"/>
  <c r="H17" i="10"/>
  <c r="T5" i="10"/>
  <c r="T14" i="10" s="1"/>
  <c r="M14" i="10"/>
  <c r="P5" i="10"/>
  <c r="P14" i="10" s="1"/>
  <c r="I14" i="10"/>
  <c r="O7" i="10"/>
  <c r="O16" i="10" s="1"/>
  <c r="H16" i="10"/>
  <c r="M3" i="7"/>
  <c r="J3" i="7"/>
  <c r="G3" i="7"/>
  <c r="L32" i="8" l="1"/>
  <c r="J32" i="8"/>
  <c r="K32" i="8"/>
  <c r="K18" i="8"/>
  <c r="J18" i="8"/>
  <c r="L31" i="8"/>
  <c r="K31" i="8"/>
  <c r="J31" i="8"/>
  <c r="K19" i="8"/>
  <c r="J19" i="8"/>
  <c r="L34" i="8"/>
  <c r="J34" i="8"/>
  <c r="K34" i="8"/>
  <c r="L30" i="8"/>
  <c r="J30" i="8"/>
  <c r="K30" i="8"/>
  <c r="J21" i="8"/>
  <c r="K21" i="8"/>
  <c r="K20" i="8"/>
  <c r="J20" i="8"/>
  <c r="L33" i="8"/>
  <c r="K33" i="8"/>
  <c r="J33" i="8"/>
  <c r="F94" i="12"/>
  <c r="F62" i="12"/>
  <c r="F78" i="12"/>
  <c r="F86" i="12"/>
  <c r="F71" i="12"/>
  <c r="H30" i="8"/>
  <c r="I30" i="8"/>
  <c r="N30" i="8"/>
  <c r="H31" i="8"/>
  <c r="I31" i="8"/>
  <c r="N31" i="8"/>
  <c r="H32" i="8"/>
  <c r="I32" i="8"/>
  <c r="N32" i="8"/>
  <c r="H33" i="8"/>
  <c r="I33" i="8"/>
  <c r="N33" i="8"/>
  <c r="H34" i="8"/>
  <c r="I34" i="8"/>
  <c r="N34" i="8"/>
  <c r="H18" i="8"/>
  <c r="I18" i="8"/>
  <c r="N18" i="8"/>
  <c r="H19" i="8"/>
  <c r="I19" i="8"/>
  <c r="N19" i="8"/>
  <c r="H20" i="8"/>
  <c r="I20" i="8"/>
  <c r="N20" i="8"/>
  <c r="H21" i="8"/>
  <c r="I21" i="8"/>
  <c r="N21" i="8"/>
  <c r="F63" i="12" l="1"/>
  <c r="F79" i="12"/>
  <c r="F87" i="12"/>
  <c r="F72" i="12"/>
  <c r="M20" i="8"/>
  <c r="M30" i="8"/>
  <c r="M19" i="8"/>
  <c r="M18" i="8"/>
  <c r="M34" i="8"/>
  <c r="M31" i="8"/>
  <c r="M21" i="8"/>
  <c r="M32" i="8"/>
  <c r="M33" i="8"/>
  <c r="F65" i="12" l="1"/>
  <c r="F64" i="12"/>
  <c r="F88" i="12"/>
  <c r="F73" i="12"/>
  <c r="F80" i="12"/>
  <c r="H10" i="8"/>
  <c r="H11" i="8"/>
  <c r="H12" i="8"/>
  <c r="H13" i="8"/>
  <c r="H14" i="8"/>
  <c r="H15" i="8"/>
  <c r="H16" i="8"/>
  <c r="H17" i="8"/>
  <c r="H23" i="8"/>
  <c r="H24" i="8"/>
  <c r="H25" i="8"/>
  <c r="H26" i="8"/>
  <c r="H27" i="8"/>
  <c r="H28" i="8"/>
  <c r="H29" i="8"/>
  <c r="H35" i="8"/>
  <c r="H36" i="8"/>
  <c r="H37" i="8"/>
  <c r="H38" i="8"/>
  <c r="H39" i="8"/>
  <c r="H40" i="8"/>
  <c r="H9" i="8"/>
  <c r="I11" i="8" l="1"/>
  <c r="J11" i="8"/>
  <c r="K11" i="8"/>
  <c r="M11" i="8" s="1"/>
  <c r="N11" i="8" s="1"/>
  <c r="F81" i="12"/>
  <c r="F89" i="12"/>
  <c r="F26" i="2"/>
  <c r="E27" i="12" s="1"/>
  <c r="G26" i="2"/>
  <c r="E26" i="2"/>
  <c r="N35" i="8"/>
  <c r="N36" i="8"/>
  <c r="N37" i="8"/>
  <c r="N38" i="8"/>
  <c r="N39" i="8"/>
  <c r="N40" i="8"/>
  <c r="L29" i="8" l="1"/>
  <c r="K29" i="8"/>
  <c r="J29" i="8"/>
  <c r="J13" i="8"/>
  <c r="K13" i="8"/>
  <c r="K15" i="8"/>
  <c r="J15" i="8"/>
  <c r="L38" i="8"/>
  <c r="J38" i="8"/>
  <c r="K38" i="8"/>
  <c r="L37" i="8"/>
  <c r="K37" i="8"/>
  <c r="J37" i="8"/>
  <c r="L28" i="8"/>
  <c r="K28" i="8"/>
  <c r="J28" i="8"/>
  <c r="L24" i="8"/>
  <c r="J24" i="8"/>
  <c r="K24" i="8"/>
  <c r="K12" i="8"/>
  <c r="J12" i="8"/>
  <c r="L25" i="8"/>
  <c r="K25" i="8"/>
  <c r="J25" i="8"/>
  <c r="K9" i="8"/>
  <c r="J9" i="8"/>
  <c r="K10" i="8"/>
  <c r="J10" i="8"/>
  <c r="L36" i="8"/>
  <c r="K36" i="8"/>
  <c r="J36" i="8"/>
  <c r="L27" i="8"/>
  <c r="K27" i="8"/>
  <c r="J27" i="8"/>
  <c r="L23" i="8"/>
  <c r="K23" i="8"/>
  <c r="J23" i="8"/>
  <c r="J17" i="8"/>
  <c r="K17" i="8"/>
  <c r="L39" i="8"/>
  <c r="K39" i="8"/>
  <c r="J39" i="8"/>
  <c r="L40" i="8"/>
  <c r="J40" i="8"/>
  <c r="K40" i="8"/>
  <c r="L35" i="8"/>
  <c r="K35" i="8"/>
  <c r="J35" i="8"/>
  <c r="L26" i="8"/>
  <c r="J26" i="8"/>
  <c r="K26" i="8"/>
  <c r="K14" i="8"/>
  <c r="J14" i="8"/>
  <c r="K16" i="8"/>
  <c r="J16" i="8"/>
  <c r="J27" i="12"/>
  <c r="G27" i="12"/>
  <c r="F93" i="12"/>
  <c r="F92" i="12"/>
  <c r="I9" i="8"/>
  <c r="I27" i="8"/>
  <c r="I35" i="8"/>
  <c r="I14" i="8"/>
  <c r="I39" i="8"/>
  <c r="I29" i="8"/>
  <c r="I25" i="8"/>
  <c r="I13" i="8"/>
  <c r="I17" i="8"/>
  <c r="I10" i="8"/>
  <c r="I36" i="8"/>
  <c r="I23" i="8"/>
  <c r="I15" i="8"/>
  <c r="I40" i="8"/>
  <c r="I26" i="8"/>
  <c r="I38" i="8"/>
  <c r="I37" i="8"/>
  <c r="I28" i="8"/>
  <c r="I24" i="8"/>
  <c r="I12" i="8"/>
  <c r="I16" i="8"/>
  <c r="H41" i="8"/>
  <c r="K27" i="12" l="1"/>
  <c r="M24" i="8"/>
  <c r="N24" i="8" s="1"/>
  <c r="M26" i="8"/>
  <c r="N26" i="8" s="1"/>
  <c r="M15" i="8"/>
  <c r="N15" i="8" s="1"/>
  <c r="M36" i="8"/>
  <c r="M38" i="8"/>
  <c r="M12" i="8"/>
  <c r="N12" i="8" s="1"/>
  <c r="M37" i="8"/>
  <c r="M25" i="8"/>
  <c r="N25" i="8" s="1"/>
  <c r="M28" i="8"/>
  <c r="N28" i="8" s="1"/>
  <c r="M17" i="8"/>
  <c r="N17" i="8" s="1"/>
  <c r="M23" i="8"/>
  <c r="N23" i="8" s="1"/>
  <c r="M13" i="8"/>
  <c r="N13" i="8" s="1"/>
  <c r="M29" i="8"/>
  <c r="N29" i="8" s="1"/>
  <c r="M39" i="8"/>
  <c r="M14" i="8"/>
  <c r="N14" i="8" s="1"/>
  <c r="M16" i="8"/>
  <c r="N16" i="8" s="1"/>
  <c r="H42" i="8"/>
  <c r="J41" i="8"/>
  <c r="M35" i="8"/>
  <c r="K41" i="8"/>
  <c r="L41" i="8"/>
  <c r="M27" i="8"/>
  <c r="N27" i="8" s="1"/>
  <c r="I41" i="8"/>
  <c r="M40" i="8"/>
  <c r="M10" i="8"/>
  <c r="M9" i="8"/>
  <c r="N9" i="8" s="1"/>
  <c r="D46" i="2" l="1"/>
  <c r="D47" i="12"/>
  <c r="J42" i="8"/>
  <c r="L42" i="8"/>
  <c r="K42" i="8"/>
  <c r="I42" i="8"/>
  <c r="N10" i="8"/>
  <c r="M41" i="8"/>
  <c r="D47" i="2" l="1"/>
  <c r="D48" i="12"/>
  <c r="D50" i="2"/>
  <c r="D51" i="12"/>
  <c r="D48" i="2"/>
  <c r="D49" i="12"/>
  <c r="D49" i="2"/>
  <c r="D50" i="12"/>
  <c r="N42" i="8"/>
  <c r="N8" i="7" l="1"/>
  <c r="O8" i="7" s="1"/>
  <c r="N9" i="7"/>
  <c r="O9" i="7" s="1"/>
  <c r="N10" i="7"/>
  <c r="O10" i="7" s="1"/>
  <c r="N11" i="7"/>
  <c r="O11" i="7" s="1"/>
  <c r="N12" i="7"/>
  <c r="O12" i="7" s="1"/>
  <c r="N13" i="7"/>
  <c r="O13" i="7" s="1"/>
  <c r="N14" i="7"/>
  <c r="O14" i="7" s="1"/>
  <c r="N55" i="7"/>
  <c r="O55" i="7" s="1"/>
  <c r="K8" i="7"/>
  <c r="L8" i="7"/>
  <c r="K9" i="7"/>
  <c r="L9" i="7" s="1"/>
  <c r="K10" i="7"/>
  <c r="L10" i="7"/>
  <c r="K11" i="7"/>
  <c r="L11" i="7" s="1"/>
  <c r="K12" i="7"/>
  <c r="L12" i="7" s="1"/>
  <c r="K13" i="7"/>
  <c r="L13" i="7" s="1"/>
  <c r="K14" i="7"/>
  <c r="L14" i="7" s="1"/>
  <c r="K55" i="7"/>
  <c r="L55" i="7" s="1"/>
  <c r="H8" i="7"/>
  <c r="I8" i="7" s="1"/>
  <c r="H9" i="7"/>
  <c r="I9" i="7" s="1"/>
  <c r="H10" i="7"/>
  <c r="I10" i="7" s="1"/>
  <c r="H11" i="7"/>
  <c r="I11" i="7" s="1"/>
  <c r="H12" i="7"/>
  <c r="I12" i="7" s="1"/>
  <c r="H13" i="7"/>
  <c r="I13" i="7" s="1"/>
  <c r="H14" i="7"/>
  <c r="I14" i="7" s="1"/>
  <c r="H55" i="7"/>
  <c r="I55" i="7" s="1"/>
  <c r="Q37" i="7"/>
  <c r="H37" i="7" s="1"/>
  <c r="I37" i="7" s="1"/>
  <c r="Q55" i="7"/>
  <c r="D7" i="7"/>
  <c r="Q7" i="7" s="1"/>
  <c r="D8" i="7"/>
  <c r="Q8" i="7" s="1"/>
  <c r="D9" i="7"/>
  <c r="D10" i="7"/>
  <c r="Q10" i="7" s="1"/>
  <c r="D11" i="7"/>
  <c r="Q11" i="7" s="1"/>
  <c r="D12" i="7"/>
  <c r="D13" i="7"/>
  <c r="D14" i="7"/>
  <c r="Q14" i="7" s="1"/>
  <c r="D15" i="7"/>
  <c r="Q15" i="7" s="1"/>
  <c r="D16" i="7"/>
  <c r="Q16" i="7" s="1"/>
  <c r="D17" i="7"/>
  <c r="D18" i="7"/>
  <c r="D19" i="7"/>
  <c r="D20" i="7"/>
  <c r="Q20" i="7" s="1"/>
  <c r="D21" i="7"/>
  <c r="D22" i="7"/>
  <c r="D23" i="7"/>
  <c r="Q23" i="7" s="1"/>
  <c r="D24" i="7"/>
  <c r="Q24" i="7" s="1"/>
  <c r="D25" i="7"/>
  <c r="D26" i="7"/>
  <c r="D27" i="7"/>
  <c r="Q27" i="7" s="1"/>
  <c r="D28" i="7"/>
  <c r="D29" i="7"/>
  <c r="D30" i="7"/>
  <c r="D31" i="7"/>
  <c r="Q31" i="7" s="1"/>
  <c r="D32" i="7"/>
  <c r="Q32" i="7" s="1"/>
  <c r="D33" i="7"/>
  <c r="D34" i="7"/>
  <c r="D35" i="7"/>
  <c r="D36" i="7"/>
  <c r="Q36" i="7" s="1"/>
  <c r="D38" i="7"/>
  <c r="Q38" i="7" s="1"/>
  <c r="D39" i="7"/>
  <c r="D40" i="7"/>
  <c r="Q40" i="7" s="1"/>
  <c r="D41" i="7"/>
  <c r="D42" i="7"/>
  <c r="Q42" i="7" s="1"/>
  <c r="D43" i="7"/>
  <c r="D44" i="7"/>
  <c r="Q44" i="7" s="1"/>
  <c r="D45" i="7"/>
  <c r="D46" i="7"/>
  <c r="Q46" i="7" s="1"/>
  <c r="D47" i="7"/>
  <c r="D48" i="7"/>
  <c r="Q48" i="7" s="1"/>
  <c r="D49" i="7"/>
  <c r="D50" i="7"/>
  <c r="D51" i="7"/>
  <c r="D52" i="7"/>
  <c r="D53" i="7"/>
  <c r="D54" i="7"/>
  <c r="Q54" i="7" s="1"/>
  <c r="D6" i="7"/>
  <c r="Q6" i="7" s="1"/>
  <c r="N6" i="7" s="1"/>
  <c r="O6" i="7" s="1"/>
  <c r="H24" i="7" l="1"/>
  <c r="I24" i="7" s="1"/>
  <c r="H20" i="7"/>
  <c r="I20" i="7" s="1"/>
  <c r="H36" i="7"/>
  <c r="I36" i="7" s="1"/>
  <c r="H16" i="7"/>
  <c r="I16" i="7" s="1"/>
  <c r="N23" i="7"/>
  <c r="O23" i="7" s="1"/>
  <c r="H32" i="7"/>
  <c r="I32" i="7" s="1"/>
  <c r="N15" i="7"/>
  <c r="O15" i="7" s="1"/>
  <c r="Q47" i="7"/>
  <c r="K47" i="7" s="1"/>
  <c r="L47" i="7" s="1"/>
  <c r="N47" i="7"/>
  <c r="O47" i="7" s="1"/>
  <c r="Q43" i="7"/>
  <c r="K43" i="7"/>
  <c r="L43" i="7" s="1"/>
  <c r="N43" i="7"/>
  <c r="O43" i="7" s="1"/>
  <c r="Q39" i="7"/>
  <c r="N39" i="7" s="1"/>
  <c r="O39" i="7" s="1"/>
  <c r="Q30" i="7"/>
  <c r="N30" i="7"/>
  <c r="O30" i="7" s="1"/>
  <c r="K30" i="7"/>
  <c r="L30" i="7" s="1"/>
  <c r="Q26" i="7"/>
  <c r="N26" i="7" s="1"/>
  <c r="O26" i="7" s="1"/>
  <c r="K26" i="7"/>
  <c r="L26" i="7" s="1"/>
  <c r="Q22" i="7"/>
  <c r="N22" i="7" s="1"/>
  <c r="O22" i="7" s="1"/>
  <c r="Q18" i="7"/>
  <c r="N18" i="7" s="1"/>
  <c r="O18" i="7" s="1"/>
  <c r="H43" i="7"/>
  <c r="I43" i="7" s="1"/>
  <c r="H26" i="7"/>
  <c r="I26" i="7" s="1"/>
  <c r="H47" i="7"/>
  <c r="I47" i="7" s="1"/>
  <c r="H39" i="7"/>
  <c r="I39" i="7" s="1"/>
  <c r="H30" i="7"/>
  <c r="I30" i="7" s="1"/>
  <c r="Q52" i="7"/>
  <c r="N52" i="7" s="1"/>
  <c r="O52" i="7" s="1"/>
  <c r="K37" i="7"/>
  <c r="L37" i="7" s="1"/>
  <c r="K31" i="7"/>
  <c r="L31" i="7" s="1"/>
  <c r="K27" i="7"/>
  <c r="L27" i="7" s="1"/>
  <c r="K23" i="7"/>
  <c r="L23" i="7" s="1"/>
  <c r="K15" i="7"/>
  <c r="L15" i="7" s="1"/>
  <c r="K7" i="7"/>
  <c r="L7" i="7" s="1"/>
  <c r="N54" i="7"/>
  <c r="O54" i="7" s="1"/>
  <c r="N46" i="7"/>
  <c r="O46" i="7" s="1"/>
  <c r="N38" i="7"/>
  <c r="O38" i="7" s="1"/>
  <c r="N32" i="7"/>
  <c r="O32" i="7" s="1"/>
  <c r="N24" i="7"/>
  <c r="O24" i="7" s="1"/>
  <c r="N16" i="7"/>
  <c r="O16" i="7" s="1"/>
  <c r="N7" i="7"/>
  <c r="O7" i="7" s="1"/>
  <c r="N48" i="7"/>
  <c r="O48" i="7" s="1"/>
  <c r="N31" i="7"/>
  <c r="O31" i="7" s="1"/>
  <c r="H7" i="7"/>
  <c r="I7" i="7" s="1"/>
  <c r="K36" i="7"/>
  <c r="L36" i="7" s="1"/>
  <c r="K32" i="7"/>
  <c r="L32" i="7" s="1"/>
  <c r="K24" i="7"/>
  <c r="L24" i="7" s="1"/>
  <c r="K20" i="7"/>
  <c r="L20" i="7" s="1"/>
  <c r="K16" i="7"/>
  <c r="L16" i="7" s="1"/>
  <c r="N42" i="7"/>
  <c r="O42" i="7" s="1"/>
  <c r="N36" i="7"/>
  <c r="O36" i="7" s="1"/>
  <c r="N20" i="7"/>
  <c r="O20" i="7" s="1"/>
  <c r="N40" i="7"/>
  <c r="O40" i="7" s="1"/>
  <c r="H54" i="7"/>
  <c r="I54" i="7" s="1"/>
  <c r="H48" i="7"/>
  <c r="I48" i="7" s="1"/>
  <c r="H46" i="7"/>
  <c r="I46" i="7" s="1"/>
  <c r="H44" i="7"/>
  <c r="I44" i="7" s="1"/>
  <c r="H42" i="7"/>
  <c r="I42" i="7" s="1"/>
  <c r="H40" i="7"/>
  <c r="I40" i="7" s="1"/>
  <c r="H38" i="7"/>
  <c r="I38" i="7" s="1"/>
  <c r="H31" i="7"/>
  <c r="I31" i="7" s="1"/>
  <c r="H27" i="7"/>
  <c r="I27" i="7" s="1"/>
  <c r="H23" i="7"/>
  <c r="I23" i="7" s="1"/>
  <c r="H15" i="7"/>
  <c r="I15" i="7" s="1"/>
  <c r="K54" i="7"/>
  <c r="L54" i="7" s="1"/>
  <c r="K48" i="7"/>
  <c r="L48" i="7" s="1"/>
  <c r="K46" i="7"/>
  <c r="L46" i="7" s="1"/>
  <c r="K44" i="7"/>
  <c r="L44" i="7" s="1"/>
  <c r="K42" i="7"/>
  <c r="L42" i="7" s="1"/>
  <c r="K40" i="7"/>
  <c r="L40" i="7" s="1"/>
  <c r="K38" i="7"/>
  <c r="L38" i="7" s="1"/>
  <c r="N44" i="7"/>
  <c r="O44" i="7" s="1"/>
  <c r="N27" i="7"/>
  <c r="O27" i="7" s="1"/>
  <c r="N37" i="7"/>
  <c r="O37" i="7" s="1"/>
  <c r="H6" i="7"/>
  <c r="I6" i="7" s="1"/>
  <c r="K6" i="7"/>
  <c r="L6" i="7" s="1"/>
  <c r="Q50" i="7"/>
  <c r="N50" i="7" s="1"/>
  <c r="O50" i="7" s="1"/>
  <c r="Q28" i="7"/>
  <c r="H28" i="7" s="1"/>
  <c r="I28" i="7" s="1"/>
  <c r="Q12" i="7"/>
  <c r="Q34" i="7"/>
  <c r="K34" i="7" s="1"/>
  <c r="L34" i="7" s="1"/>
  <c r="Q51" i="7"/>
  <c r="K51" i="7" s="1"/>
  <c r="L51" i="7" s="1"/>
  <c r="Q35" i="7"/>
  <c r="H35" i="7" s="1"/>
  <c r="I35" i="7" s="1"/>
  <c r="Q19" i="7"/>
  <c r="N19" i="7" s="1"/>
  <c r="O19" i="7" s="1"/>
  <c r="Q53" i="7"/>
  <c r="Q49" i="7"/>
  <c r="Q45" i="7"/>
  <c r="Q41" i="7"/>
  <c r="N41" i="7" s="1"/>
  <c r="O41" i="7" s="1"/>
  <c r="Q33" i="7"/>
  <c r="H33" i="7" s="1"/>
  <c r="I33" i="7" s="1"/>
  <c r="Q29" i="7"/>
  <c r="H29" i="7" s="1"/>
  <c r="I29" i="7" s="1"/>
  <c r="Q25" i="7"/>
  <c r="N25" i="7" s="1"/>
  <c r="O25" i="7" s="1"/>
  <c r="Q21" i="7"/>
  <c r="N21" i="7" s="1"/>
  <c r="O21" i="7" s="1"/>
  <c r="Q17" i="7"/>
  <c r="K17" i="7" s="1"/>
  <c r="L17" i="7" s="1"/>
  <c r="Q13" i="7"/>
  <c r="Q9" i="7"/>
  <c r="N29" i="7" l="1"/>
  <c r="O29" i="7" s="1"/>
  <c r="K25" i="7"/>
  <c r="L25" i="7" s="1"/>
  <c r="N35" i="7"/>
  <c r="O35" i="7" s="1"/>
  <c r="N28" i="7"/>
  <c r="O28" i="7" s="1"/>
  <c r="K18" i="7"/>
  <c r="L18" i="7" s="1"/>
  <c r="K39" i="7"/>
  <c r="L39" i="7" s="1"/>
  <c r="K35" i="7"/>
  <c r="L35" i="7" s="1"/>
  <c r="K50" i="7"/>
  <c r="L50" i="7" s="1"/>
  <c r="N53" i="7"/>
  <c r="O53" i="7" s="1"/>
  <c r="K53" i="7"/>
  <c r="L53" i="7" s="1"/>
  <c r="H53" i="7"/>
  <c r="I53" i="7" s="1"/>
  <c r="N33" i="7"/>
  <c r="O33" i="7" s="1"/>
  <c r="K33" i="7"/>
  <c r="L33" i="7" s="1"/>
  <c r="H17" i="7"/>
  <c r="I17" i="7" s="1"/>
  <c r="N34" i="7"/>
  <c r="O34" i="7" s="1"/>
  <c r="N17" i="7"/>
  <c r="O17" i="7" s="1"/>
  <c r="K19" i="7"/>
  <c r="L19" i="7" s="1"/>
  <c r="H22" i="7"/>
  <c r="I22" i="7" s="1"/>
  <c r="H21" i="7"/>
  <c r="I21" i="7" s="1"/>
  <c r="N45" i="7"/>
  <c r="O45" i="7" s="1"/>
  <c r="K45" i="7"/>
  <c r="L45" i="7" s="1"/>
  <c r="H45" i="7"/>
  <c r="I45" i="7" s="1"/>
  <c r="H50" i="7"/>
  <c r="I50" i="7" s="1"/>
  <c r="K21" i="7"/>
  <c r="L21" i="7" s="1"/>
  <c r="K29" i="7"/>
  <c r="L29" i="7" s="1"/>
  <c r="K52" i="7"/>
  <c r="L52" i="7" s="1"/>
  <c r="H25" i="7"/>
  <c r="I25" i="7" s="1"/>
  <c r="H18" i="7"/>
  <c r="I18" i="7" s="1"/>
  <c r="H51" i="7"/>
  <c r="I51" i="7" s="1"/>
  <c r="K22" i="7"/>
  <c r="L22" i="7" s="1"/>
  <c r="N51" i="7"/>
  <c r="O51" i="7" s="1"/>
  <c r="H34" i="7"/>
  <c r="I34" i="7" s="1"/>
  <c r="K41" i="7"/>
  <c r="L41" i="7" s="1"/>
  <c r="H41" i="7"/>
  <c r="I41" i="7" s="1"/>
  <c r="H52" i="7"/>
  <c r="I52" i="7" s="1"/>
  <c r="K49" i="7"/>
  <c r="L49" i="7" s="1"/>
  <c r="H49" i="7"/>
  <c r="I49" i="7" s="1"/>
  <c r="H19" i="7"/>
  <c r="I19" i="7" s="1"/>
  <c r="K28" i="7"/>
  <c r="L28" i="7" s="1"/>
  <c r="N49" i="7"/>
  <c r="O49" i="7" s="1"/>
  <c r="E17" i="2"/>
  <c r="E18" i="2"/>
  <c r="E19" i="2"/>
  <c r="O4" i="7" l="1"/>
  <c r="G24" i="2" s="1"/>
  <c r="I4" i="7"/>
  <c r="E24" i="2" s="1"/>
  <c r="L4" i="7"/>
  <c r="F24" i="2" s="1"/>
  <c r="E53" i="2"/>
  <c r="E54" i="2"/>
  <c r="G35" i="2" l="1"/>
  <c r="F35" i="2"/>
  <c r="E36" i="12" s="1"/>
  <c r="E35" i="2"/>
  <c r="G37" i="2"/>
  <c r="F37" i="2"/>
  <c r="E38" i="12" s="1"/>
  <c r="E37" i="2"/>
  <c r="G18" i="2"/>
  <c r="G17" i="2"/>
  <c r="F17" i="2"/>
  <c r="E18" i="12" s="1"/>
  <c r="F18" i="2"/>
  <c r="E19" i="12" s="1"/>
  <c r="F19" i="2"/>
  <c r="E20" i="12" s="1"/>
  <c r="G19" i="2"/>
  <c r="F16" i="2"/>
  <c r="E17" i="12" s="1"/>
  <c r="G16" i="2"/>
  <c r="E16" i="2"/>
  <c r="K20" i="12" l="1"/>
  <c r="G20" i="12"/>
  <c r="K19" i="12"/>
  <c r="G19" i="12"/>
  <c r="J36" i="12"/>
  <c r="G36" i="12"/>
  <c r="G17" i="12"/>
  <c r="K17" i="12"/>
  <c r="G18" i="12"/>
  <c r="K18" i="12"/>
  <c r="G38" i="12"/>
  <c r="J38" i="12"/>
  <c r="K38" i="12" s="1"/>
  <c r="F42" i="2"/>
  <c r="E43" i="12" s="1"/>
  <c r="G42" i="2"/>
  <c r="G43" i="2" s="1"/>
  <c r="G67" i="2" s="1"/>
  <c r="F54" i="2"/>
  <c r="E55" i="12" s="1"/>
  <c r="F53" i="2"/>
  <c r="E54" i="12" s="1"/>
  <c r="G54" i="2"/>
  <c r="G53" i="2"/>
  <c r="G22" i="2"/>
  <c r="F22" i="2"/>
  <c r="E23" i="12" s="1"/>
  <c r="E22" i="2"/>
  <c r="E42" i="2"/>
  <c r="E43" i="2" s="1"/>
  <c r="E67" i="2" s="1"/>
  <c r="J55" i="12" l="1"/>
  <c r="K55" i="12" s="1"/>
  <c r="G55" i="12"/>
  <c r="G23" i="12"/>
  <c r="K23" i="12"/>
  <c r="J54" i="12"/>
  <c r="G54" i="12"/>
  <c r="J43" i="12"/>
  <c r="K43" i="12" s="1"/>
  <c r="G43" i="12"/>
  <c r="K36" i="12"/>
  <c r="F43" i="2"/>
  <c r="E44" i="12" s="1"/>
  <c r="G44" i="12" s="1"/>
  <c r="G68" i="2"/>
  <c r="G75" i="2"/>
  <c r="E68" i="2"/>
  <c r="E75" i="2"/>
  <c r="F82" i="2"/>
  <c r="E83" i="12" s="1"/>
  <c r="G82" i="2"/>
  <c r="G83" i="2" s="1"/>
  <c r="E82" i="2"/>
  <c r="E83" i="2" s="1"/>
  <c r="G56" i="2"/>
  <c r="G59" i="2" s="1"/>
  <c r="F56" i="2"/>
  <c r="E57" i="12" s="1"/>
  <c r="E56" i="2"/>
  <c r="J57" i="12" l="1"/>
  <c r="K57" i="12" s="1"/>
  <c r="G57" i="12"/>
  <c r="G83" i="12"/>
  <c r="K83" i="12"/>
  <c r="J44" i="12"/>
  <c r="K54" i="12"/>
  <c r="J60" i="12"/>
  <c r="F59" i="2"/>
  <c r="E60" i="12" s="1"/>
  <c r="F67" i="2"/>
  <c r="E69" i="2"/>
  <c r="E76" i="2"/>
  <c r="E84" i="2"/>
  <c r="G84" i="2"/>
  <c r="G76" i="2"/>
  <c r="G69" i="2"/>
  <c r="G70" i="2" s="1"/>
  <c r="G71" i="2" s="1"/>
  <c r="G93" i="2"/>
  <c r="E59" i="2"/>
  <c r="E70" i="2" s="1"/>
  <c r="E71" i="2" s="1"/>
  <c r="G61" i="2"/>
  <c r="G62" i="2" s="1"/>
  <c r="G63" i="2" s="1"/>
  <c r="F83" i="2" l="1"/>
  <c r="E84" i="12" s="1"/>
  <c r="G84" i="12" s="1"/>
  <c r="E68" i="12"/>
  <c r="G68" i="12" s="1"/>
  <c r="J68" i="12"/>
  <c r="K44" i="12"/>
  <c r="J94" i="12"/>
  <c r="J62" i="12"/>
  <c r="J63" i="12" s="1"/>
  <c r="K60" i="12"/>
  <c r="G60" i="12"/>
  <c r="F93" i="2"/>
  <c r="E94" i="12" s="1"/>
  <c r="F61" i="2"/>
  <c r="E62" i="12" s="1"/>
  <c r="F75" i="2"/>
  <c r="E76" i="12" s="1"/>
  <c r="G76" i="12" s="1"/>
  <c r="F68" i="2"/>
  <c r="E69" i="12" s="1"/>
  <c r="G69" i="12" s="1"/>
  <c r="E85" i="2"/>
  <c r="E77" i="2"/>
  <c r="G85" i="2"/>
  <c r="G77" i="2"/>
  <c r="G86" i="2"/>
  <c r="G78" i="2"/>
  <c r="E93" i="2"/>
  <c r="E61" i="2"/>
  <c r="E62" i="2" s="1"/>
  <c r="G64" i="2"/>
  <c r="K68" i="12" l="1"/>
  <c r="J84" i="12"/>
  <c r="K84" i="12" s="1"/>
  <c r="J76" i="12"/>
  <c r="K76" i="12" s="1"/>
  <c r="J69" i="12"/>
  <c r="J64" i="12"/>
  <c r="J65" i="12"/>
  <c r="G62" i="12"/>
  <c r="K62" i="12"/>
  <c r="K94" i="12"/>
  <c r="G94" i="12"/>
  <c r="F62" i="2"/>
  <c r="F64" i="2" s="1"/>
  <c r="E65" i="12" s="1"/>
  <c r="B29" i="10"/>
  <c r="B31" i="10"/>
  <c r="B33" i="10"/>
  <c r="E30" i="10"/>
  <c r="E32" i="10"/>
  <c r="C29" i="10"/>
  <c r="C31" i="10"/>
  <c r="C33" i="10"/>
  <c r="F30" i="10"/>
  <c r="F32" i="10"/>
  <c r="B30" i="10"/>
  <c r="B32" i="10"/>
  <c r="E29" i="10"/>
  <c r="E31" i="10"/>
  <c r="E33" i="10"/>
  <c r="C30" i="10"/>
  <c r="C32" i="10"/>
  <c r="F29" i="10"/>
  <c r="F31" i="10"/>
  <c r="F33" i="10"/>
  <c r="D30" i="10"/>
  <c r="D32" i="10"/>
  <c r="D29" i="10"/>
  <c r="D33" i="10"/>
  <c r="D31" i="10"/>
  <c r="D41" i="10" s="1"/>
  <c r="B7" i="10"/>
  <c r="B9" i="10"/>
  <c r="D8" i="10"/>
  <c r="D17" i="10" s="1"/>
  <c r="B6" i="10"/>
  <c r="B15" i="10" s="1"/>
  <c r="D6" i="10"/>
  <c r="F7" i="10"/>
  <c r="F8" i="10"/>
  <c r="F17" i="10" s="1"/>
  <c r="E6" i="10"/>
  <c r="E15" i="10" s="1"/>
  <c r="F6" i="10"/>
  <c r="B8" i="10"/>
  <c r="C6" i="10"/>
  <c r="C15" i="10" s="1"/>
  <c r="D9" i="10"/>
  <c r="D18" i="10" s="1"/>
  <c r="E7" i="10"/>
  <c r="E8" i="10"/>
  <c r="F10" i="10"/>
  <c r="F19" i="10" s="1"/>
  <c r="B10" i="10"/>
  <c r="B19" i="10" s="1"/>
  <c r="C8" i="10"/>
  <c r="C7" i="10"/>
  <c r="D10" i="10"/>
  <c r="D19" i="10" s="1"/>
  <c r="E10" i="10"/>
  <c r="E19" i="10" s="1"/>
  <c r="D7" i="10"/>
  <c r="E9" i="10"/>
  <c r="C10" i="10"/>
  <c r="C19" i="10" s="1"/>
  <c r="C9" i="10"/>
  <c r="C18" i="10" s="1"/>
  <c r="F9" i="10"/>
  <c r="F76" i="2"/>
  <c r="E77" i="12" s="1"/>
  <c r="G77" i="12" s="1"/>
  <c r="F69" i="2"/>
  <c r="F84" i="2"/>
  <c r="E85" i="12" s="1"/>
  <c r="G85" i="12" s="1"/>
  <c r="E86" i="2"/>
  <c r="E78" i="2"/>
  <c r="G72" i="2"/>
  <c r="G87" i="2"/>
  <c r="G79" i="2"/>
  <c r="E64" i="2"/>
  <c r="E63" i="2"/>
  <c r="K69" i="12" l="1"/>
  <c r="J85" i="12"/>
  <c r="K85" i="12" s="1"/>
  <c r="J77" i="12"/>
  <c r="K77" i="12" s="1"/>
  <c r="J70" i="12"/>
  <c r="F70" i="2"/>
  <c r="E70" i="12"/>
  <c r="G70" i="12" s="1"/>
  <c r="E18" i="10"/>
  <c r="C16" i="10"/>
  <c r="E17" i="10"/>
  <c r="B17" i="10"/>
  <c r="F16" i="10"/>
  <c r="B18" i="10"/>
  <c r="D39" i="10"/>
  <c r="F41" i="10"/>
  <c r="E43" i="10"/>
  <c r="F18" i="10"/>
  <c r="D16" i="10"/>
  <c r="C17" i="10"/>
  <c r="E16" i="10"/>
  <c r="F15" i="10"/>
  <c r="D15" i="10"/>
  <c r="B16" i="10"/>
  <c r="G65" i="12"/>
  <c r="K65" i="12"/>
  <c r="F71" i="2"/>
  <c r="E72" i="12" s="1"/>
  <c r="E71" i="12"/>
  <c r="F63" i="2"/>
  <c r="E64" i="12" s="1"/>
  <c r="E63" i="12"/>
  <c r="C41" i="10"/>
  <c r="B40" i="10"/>
  <c r="D42" i="10"/>
  <c r="F39" i="10"/>
  <c r="E41" i="10"/>
  <c r="F42" i="10"/>
  <c r="C39" i="10"/>
  <c r="B41" i="10"/>
  <c r="B43" i="10"/>
  <c r="D40" i="10"/>
  <c r="C42" i="10"/>
  <c r="E39" i="10"/>
  <c r="F40" i="10"/>
  <c r="E42" i="10"/>
  <c r="B39" i="10"/>
  <c r="D43" i="10"/>
  <c r="F43" i="10"/>
  <c r="C40" i="10"/>
  <c r="B42" i="10"/>
  <c r="C43" i="10"/>
  <c r="E40" i="10"/>
  <c r="R29" i="10"/>
  <c r="K29" i="10"/>
  <c r="T31" i="10"/>
  <c r="M31" i="10"/>
  <c r="L33" i="10"/>
  <c r="S33" i="10"/>
  <c r="P30" i="10"/>
  <c r="I30" i="10"/>
  <c r="Q31" i="10"/>
  <c r="J31" i="10"/>
  <c r="P33" i="10"/>
  <c r="I33" i="10"/>
  <c r="R32" i="10"/>
  <c r="K32" i="10"/>
  <c r="T29" i="10"/>
  <c r="M29" i="10"/>
  <c r="L31" i="10"/>
  <c r="S31" i="10"/>
  <c r="T32" i="10"/>
  <c r="M32" i="10"/>
  <c r="Q29" i="10"/>
  <c r="J29" i="10"/>
  <c r="P31" i="10"/>
  <c r="I31" i="10"/>
  <c r="K31" i="10"/>
  <c r="K41" i="10" s="1"/>
  <c r="R31" i="10"/>
  <c r="R41" i="10" s="1"/>
  <c r="K30" i="10"/>
  <c r="R30" i="10"/>
  <c r="J32" i="10"/>
  <c r="J42" i="10" s="1"/>
  <c r="Q32" i="10"/>
  <c r="Q42" i="10" s="1"/>
  <c r="L29" i="10"/>
  <c r="S29" i="10"/>
  <c r="T30" i="10"/>
  <c r="M30" i="10"/>
  <c r="S32" i="10"/>
  <c r="L32" i="10"/>
  <c r="I29" i="10"/>
  <c r="I39" i="10" s="1"/>
  <c r="P29" i="10"/>
  <c r="P39" i="10" s="1"/>
  <c r="K33" i="10"/>
  <c r="R33" i="10"/>
  <c r="T33" i="10"/>
  <c r="M33" i="10"/>
  <c r="J30" i="10"/>
  <c r="Q30" i="10"/>
  <c r="P32" i="10"/>
  <c r="I32" i="10"/>
  <c r="Q33" i="10"/>
  <c r="J33" i="10"/>
  <c r="S30" i="10"/>
  <c r="L30" i="10"/>
  <c r="R7" i="10"/>
  <c r="K7" i="10"/>
  <c r="S7" i="10"/>
  <c r="L7" i="10"/>
  <c r="K6" i="10"/>
  <c r="R6" i="10"/>
  <c r="S10" i="10"/>
  <c r="L10" i="10"/>
  <c r="K9" i="10"/>
  <c r="R9" i="10"/>
  <c r="P6" i="10"/>
  <c r="I6" i="10"/>
  <c r="K10" i="10"/>
  <c r="R10" i="10"/>
  <c r="M10" i="10"/>
  <c r="T10" i="10"/>
  <c r="T8" i="10"/>
  <c r="M8" i="10"/>
  <c r="K8" i="10"/>
  <c r="K17" i="10" s="1"/>
  <c r="R8" i="10"/>
  <c r="R17" i="10" s="1"/>
  <c r="L9" i="10"/>
  <c r="S9" i="10"/>
  <c r="Q7" i="10"/>
  <c r="J7" i="10"/>
  <c r="S8" i="10"/>
  <c r="L8" i="10"/>
  <c r="P8" i="10"/>
  <c r="I8" i="10"/>
  <c r="M7" i="10"/>
  <c r="T7" i="10"/>
  <c r="I9" i="10"/>
  <c r="I18" i="10" s="1"/>
  <c r="P9" i="10"/>
  <c r="P18" i="10" s="1"/>
  <c r="M9" i="10"/>
  <c r="T9" i="10"/>
  <c r="Q8" i="10"/>
  <c r="J8" i="10"/>
  <c r="T6" i="10"/>
  <c r="M6" i="10"/>
  <c r="I7" i="10"/>
  <c r="I16" i="10" s="1"/>
  <c r="P7" i="10"/>
  <c r="P16" i="10" s="1"/>
  <c r="Q9" i="10"/>
  <c r="J9" i="10"/>
  <c r="P10" i="10"/>
  <c r="I10" i="10"/>
  <c r="S6" i="10"/>
  <c r="L6" i="10"/>
  <c r="Q10" i="10"/>
  <c r="J10" i="10"/>
  <c r="Q6" i="10"/>
  <c r="J6" i="10"/>
  <c r="F85" i="2"/>
  <c r="E86" i="12" s="1"/>
  <c r="G86" i="12" s="1"/>
  <c r="F77" i="2"/>
  <c r="E78" i="12" s="1"/>
  <c r="G78" i="12" s="1"/>
  <c r="G88" i="2"/>
  <c r="G80" i="2"/>
  <c r="E72" i="2"/>
  <c r="E87" i="2"/>
  <c r="E79" i="2"/>
  <c r="K70" i="12" l="1"/>
  <c r="J78" i="12"/>
  <c r="K78" i="12" s="1"/>
  <c r="J71" i="12"/>
  <c r="K71" i="12" s="1"/>
  <c r="J86" i="12"/>
  <c r="K86" i="12" s="1"/>
  <c r="G71" i="12"/>
  <c r="G72" i="12"/>
  <c r="G63" i="12"/>
  <c r="K63" i="12"/>
  <c r="K64" i="12"/>
  <c r="G64" i="12"/>
  <c r="J19" i="10"/>
  <c r="I19" i="10"/>
  <c r="J17" i="10"/>
  <c r="L40" i="10"/>
  <c r="I42" i="10"/>
  <c r="M43" i="10"/>
  <c r="M40" i="10"/>
  <c r="M18" i="10"/>
  <c r="M16" i="10"/>
  <c r="L18" i="10"/>
  <c r="J40" i="10"/>
  <c r="K43" i="10"/>
  <c r="L39" i="10"/>
  <c r="J39" i="10"/>
  <c r="K42" i="10"/>
  <c r="J41" i="10"/>
  <c r="K39" i="10"/>
  <c r="K19" i="10"/>
  <c r="K18" i="10"/>
  <c r="K15" i="10"/>
  <c r="K40" i="10"/>
  <c r="J15" i="10"/>
  <c r="L15" i="10"/>
  <c r="J18" i="10"/>
  <c r="M15" i="10"/>
  <c r="L17" i="10"/>
  <c r="M17" i="10"/>
  <c r="J43" i="10"/>
  <c r="L42" i="10"/>
  <c r="I41" i="10"/>
  <c r="Q15" i="10"/>
  <c r="S15" i="10"/>
  <c r="Q18" i="10"/>
  <c r="T15" i="10"/>
  <c r="S17" i="10"/>
  <c r="T17" i="10"/>
  <c r="R16" i="10"/>
  <c r="Q43" i="10"/>
  <c r="S42" i="10"/>
  <c r="P41" i="10"/>
  <c r="T42" i="10"/>
  <c r="T39" i="10"/>
  <c r="P43" i="10"/>
  <c r="P40" i="10"/>
  <c r="T41" i="10"/>
  <c r="T18" i="10"/>
  <c r="T16" i="10"/>
  <c r="S18" i="10"/>
  <c r="R19" i="10"/>
  <c r="R18" i="10"/>
  <c r="R15" i="10"/>
  <c r="K16" i="10"/>
  <c r="Q40" i="10"/>
  <c r="R43" i="10"/>
  <c r="S39" i="10"/>
  <c r="R40" i="10"/>
  <c r="M42" i="10"/>
  <c r="M39" i="10"/>
  <c r="I43" i="10"/>
  <c r="I40" i="10"/>
  <c r="M41" i="10"/>
  <c r="S41" i="10"/>
  <c r="S43" i="10"/>
  <c r="Q19" i="10"/>
  <c r="P19" i="10"/>
  <c r="Q17" i="10"/>
  <c r="P17" i="10"/>
  <c r="Q16" i="10"/>
  <c r="S40" i="10"/>
  <c r="P42" i="10"/>
  <c r="T43" i="10"/>
  <c r="T40" i="10"/>
  <c r="Q39" i="10"/>
  <c r="L41" i="10"/>
  <c r="R42" i="10"/>
  <c r="Q41" i="10"/>
  <c r="L43" i="10"/>
  <c r="R39" i="10"/>
  <c r="I17" i="10"/>
  <c r="J16" i="10"/>
  <c r="T19" i="10"/>
  <c r="I15" i="10"/>
  <c r="L19" i="10"/>
  <c r="L16" i="10"/>
  <c r="M19" i="10"/>
  <c r="P15" i="10"/>
  <c r="S19" i="10"/>
  <c r="S16" i="10"/>
  <c r="F78" i="2"/>
  <c r="E79" i="12" s="1"/>
  <c r="F86" i="2"/>
  <c r="E87" i="12" s="1"/>
  <c r="E88" i="2"/>
  <c r="E80" i="2"/>
  <c r="G91" i="2"/>
  <c r="G92" i="2"/>
  <c r="J87" i="12" l="1"/>
  <c r="J72" i="12"/>
  <c r="J79" i="12"/>
  <c r="K79" i="12" s="1"/>
  <c r="G87" i="12"/>
  <c r="K87" i="12"/>
  <c r="G79" i="12"/>
  <c r="F87" i="2"/>
  <c r="E88" i="12" s="1"/>
  <c r="F79" i="2"/>
  <c r="E80" i="12" s="1"/>
  <c r="F72" i="2"/>
  <c r="E73" i="12" s="1"/>
  <c r="E91" i="2"/>
  <c r="E92" i="2"/>
  <c r="J88" i="12" l="1"/>
  <c r="J73" i="12"/>
  <c r="J80" i="12"/>
  <c r="K72" i="12"/>
  <c r="G73" i="12"/>
  <c r="K73" i="12"/>
  <c r="G80" i="12"/>
  <c r="K80" i="12"/>
  <c r="G88" i="12"/>
  <c r="K88" i="12"/>
  <c r="F80" i="2"/>
  <c r="E81" i="12" s="1"/>
  <c r="F88" i="2"/>
  <c r="E89" i="12" s="1"/>
  <c r="J89" i="12" l="1"/>
  <c r="J93" i="12" s="1"/>
  <c r="J81" i="12"/>
  <c r="J92" i="12" s="1"/>
  <c r="G81" i="12"/>
  <c r="K81" i="12"/>
  <c r="G89" i="12"/>
  <c r="K89" i="12"/>
  <c r="F92" i="2"/>
  <c r="E93" i="12" s="1"/>
  <c r="F91" i="2"/>
  <c r="E92" i="12" s="1"/>
  <c r="G92" i="12" l="1"/>
  <c r="K92" i="12"/>
  <c r="G93" i="12"/>
  <c r="K93" i="12"/>
</calcChain>
</file>

<file path=xl/comments1.xml><?xml version="1.0" encoding="utf-8"?>
<comments xmlns="http://schemas.openxmlformats.org/spreadsheetml/2006/main">
  <authors>
    <author>kevin bernhardt</author>
    <author>Kevin J Bernhardt</author>
  </authors>
  <commentList>
    <comment ref="D24" authorId="0" shapeId="0">
      <text>
        <r>
          <rPr>
            <b/>
            <sz val="9"/>
            <color indexed="81"/>
            <rFont val="Tahoma"/>
            <family val="2"/>
          </rPr>
          <t xml:space="preserve">The values in this row are not part of the total variable cost value.  They are from the "Feed Cost Calculator" tab and are for information (benchmark) only.  You must enter your actual feed costs in the next row. </t>
        </r>
      </text>
    </comment>
    <comment ref="C53" authorId="0" shapeId="0">
      <text>
        <r>
          <rPr>
            <b/>
            <sz val="9"/>
            <color indexed="81"/>
            <rFont val="Tahoma"/>
            <family val="2"/>
          </rPr>
          <t>Percent of the average of replacement heifer and cull cow prices.  Method used in "2018 Dairy Cow Budget - Large Breed," The Ohio State University Extension, 5/25/2018.</t>
        </r>
      </text>
    </comment>
    <comment ref="C54" authorId="0" shapeId="0">
      <text>
        <r>
          <rPr>
            <b/>
            <sz val="9"/>
            <color indexed="81"/>
            <rFont val="Tahoma"/>
            <family val="2"/>
          </rPr>
          <t>Percent of the average of replacement heifer and cull cow prices.  Method used in "2018 Dairy Cow Budget - Large Breed," The Ohio State University Extension, 5/25/2018.</t>
        </r>
      </text>
    </comment>
    <comment ref="C69" authorId="1" shapeId="0">
      <text>
        <r>
          <rPr>
            <b/>
            <sz val="9"/>
            <color indexed="81"/>
            <rFont val="Tahoma"/>
            <family val="2"/>
          </rPr>
          <t>Including interest and labor.</t>
        </r>
      </text>
    </comment>
    <comment ref="C77" authorId="1" shapeId="0">
      <text>
        <r>
          <rPr>
            <b/>
            <sz val="9"/>
            <color indexed="81"/>
            <rFont val="Tahoma"/>
            <family val="2"/>
          </rPr>
          <t>Including interest and labor.</t>
        </r>
      </text>
    </comment>
    <comment ref="B82" authorId="1" shapeId="0">
      <text>
        <r>
          <rPr>
            <sz val="9"/>
            <color indexed="81"/>
            <rFont val="Tahoma"/>
            <family val="2"/>
          </rPr>
          <t>If costs are included for non-dairy enterprises such as cash crops and/or other livestock enterprises then the costs per cow or cwt may be overstated. Hundredweight Equivalent is an adjustment made to counter the affect of non-dairy expenses.  It is a statement of how many hundredweights would have to be produced to get the same income if there was no other sources of income.  Using the CWTEQ as the denominator may gives a more accurate portrayal of "true" costs of production for just the dairy.</t>
        </r>
      </text>
    </comment>
    <comment ref="C85" authorId="1" shapeId="0">
      <text>
        <r>
          <rPr>
            <b/>
            <sz val="9"/>
            <color indexed="81"/>
            <rFont val="Tahoma"/>
            <family val="2"/>
          </rPr>
          <t>Including interest and labor.</t>
        </r>
      </text>
    </comment>
    <comment ref="C93" authorId="1" shapeId="0">
      <text>
        <r>
          <rPr>
            <sz val="9"/>
            <color indexed="81"/>
            <rFont val="Tahoma"/>
            <family val="2"/>
          </rPr>
          <t>Residual claimant assumes that non-dairy income equals non-dairy expenses.  So, by subtracting non-dairy income from total expenses it gives a more accurate portrayal of costs of production if the assumption is close to true.</t>
        </r>
      </text>
    </comment>
  </commentList>
</comments>
</file>

<file path=xl/comments2.xml><?xml version="1.0" encoding="utf-8"?>
<comments xmlns="http://schemas.openxmlformats.org/spreadsheetml/2006/main">
  <authors>
    <author>kevin bernhardt</author>
    <author>Kevin J Bernhardt</author>
  </authors>
  <commentList>
    <comment ref="C54" authorId="0" shapeId="0">
      <text>
        <r>
          <rPr>
            <b/>
            <sz val="9"/>
            <color indexed="81"/>
            <rFont val="Tahoma"/>
            <family val="2"/>
          </rPr>
          <t>Percent of the average of replacement heifer and cull cow prices.  Method used in "2018 Dairy Cow Budget - Large Breed," The Ohio State University Extension, 5/25/2018.</t>
        </r>
      </text>
    </comment>
    <comment ref="C55" authorId="0" shapeId="0">
      <text>
        <r>
          <rPr>
            <b/>
            <sz val="9"/>
            <color indexed="81"/>
            <rFont val="Tahoma"/>
            <family val="2"/>
          </rPr>
          <t>Percent of the average of replacement heifer and cull cow prices.  Method used in "2018 Dairy Cow Budget - Large Breed," The Ohio State University Extension, 5/25/2018.</t>
        </r>
      </text>
    </comment>
    <comment ref="C70" authorId="1" shapeId="0">
      <text>
        <r>
          <rPr>
            <b/>
            <sz val="9"/>
            <color indexed="81"/>
            <rFont val="Tahoma"/>
            <family val="2"/>
          </rPr>
          <t>Including interest and labor.</t>
        </r>
      </text>
    </comment>
    <comment ref="C78" authorId="1" shapeId="0">
      <text>
        <r>
          <rPr>
            <b/>
            <sz val="9"/>
            <color indexed="81"/>
            <rFont val="Tahoma"/>
            <family val="2"/>
          </rPr>
          <t>Including interest and labor.</t>
        </r>
      </text>
    </comment>
    <comment ref="B83" authorId="1" shapeId="0">
      <text>
        <r>
          <rPr>
            <sz val="9"/>
            <color indexed="81"/>
            <rFont val="Tahoma"/>
            <family val="2"/>
          </rPr>
          <t>If costs are included for non-dairy enterprises such as cash crops and/or other livestock enterprises then the costs per cow or cwt may be overstated. Hundredweight Equivalent is an adjustment made to counter the affect of non-dairy expenses.  It is a statement of how many hundredweights would have to be produced to get the same income if there was no other sources of income.  Using the CWTEQ as the denominator may gives a more accurate portrayal of "true" costs of production for just the dairy.</t>
        </r>
      </text>
    </comment>
    <comment ref="C86" authorId="1" shapeId="0">
      <text>
        <r>
          <rPr>
            <b/>
            <sz val="9"/>
            <color indexed="81"/>
            <rFont val="Tahoma"/>
            <family val="2"/>
          </rPr>
          <t>Including interest and labor.</t>
        </r>
      </text>
    </comment>
    <comment ref="C94" authorId="1" shapeId="0">
      <text>
        <r>
          <rPr>
            <sz val="9"/>
            <color indexed="81"/>
            <rFont val="Tahoma"/>
            <family val="2"/>
          </rPr>
          <t>Residual claimant assumes that non-dairy income equals non-dairy expenses.  So, by subtracting non-dairy income from total expenses it gives a more accurate portrayal of costs of production if the assumption is close to true.</t>
        </r>
      </text>
    </comment>
  </commentList>
</comments>
</file>

<file path=xl/sharedStrings.xml><?xml version="1.0" encoding="utf-8"?>
<sst xmlns="http://schemas.openxmlformats.org/spreadsheetml/2006/main" count="422" uniqueCount="239">
  <si>
    <t>INCOME</t>
  </si>
  <si>
    <t>Milk Sales</t>
  </si>
  <si>
    <t>TOTAL INCOME</t>
  </si>
  <si>
    <t>VARIABLE COSTS</t>
  </si>
  <si>
    <t>Breeding</t>
  </si>
  <si>
    <t>Livestock supplies</t>
  </si>
  <si>
    <t>Fuel and Oil</t>
  </si>
  <si>
    <t>Repairs</t>
  </si>
  <si>
    <t>TOTAL VC</t>
  </si>
  <si>
    <t>FIXED COSTS</t>
  </si>
  <si>
    <t>Utilities</t>
  </si>
  <si>
    <t>TOTAL FC</t>
  </si>
  <si>
    <t>Other</t>
  </si>
  <si>
    <t>Milk Price</t>
  </si>
  <si>
    <t>Per Cow</t>
  </si>
  <si>
    <t>Veterinary &amp; medicine</t>
  </si>
  <si>
    <t>Milk Testing &amp; Registration</t>
  </si>
  <si>
    <t>Bedding</t>
  </si>
  <si>
    <t>Management charge</t>
  </si>
  <si>
    <t>Bull Calf Price</t>
  </si>
  <si>
    <t>Heifer Calf Price</t>
  </si>
  <si>
    <t>Wage Rate, $/hour</t>
  </si>
  <si>
    <t>Labor hours per cow</t>
  </si>
  <si>
    <t>COSTS OF PRODUCTION PER COW</t>
  </si>
  <si>
    <t>NET RETURN PER CWT</t>
  </si>
  <si>
    <t>COSTS OF PRODUCTION PER CWT</t>
  </si>
  <si>
    <r>
      <t>Cull Cow,</t>
    </r>
    <r>
      <rPr>
        <sz val="11"/>
        <color rgb="FFC00000"/>
        <rFont val="Calibri"/>
        <family val="2"/>
        <scheme val="minor"/>
      </rPr>
      <t xml:space="preserve"> lbs per cow</t>
    </r>
  </si>
  <si>
    <r>
      <t xml:space="preserve">Marketing &amp; hauling, </t>
    </r>
    <r>
      <rPr>
        <sz val="11"/>
        <color rgb="FFC00000"/>
        <rFont val="Calibri"/>
        <family val="2"/>
        <scheme val="minor"/>
      </rPr>
      <t>$/cwt</t>
    </r>
  </si>
  <si>
    <t>TOTAL HERD RETURN</t>
  </si>
  <si>
    <t>Custom hire</t>
  </si>
  <si>
    <t>Car, truck, and freight expenses</t>
  </si>
  <si>
    <t>Rent/Lease</t>
  </si>
  <si>
    <t>Calving Interval, months</t>
  </si>
  <si>
    <t>Calf death loss %</t>
  </si>
  <si>
    <t>CWTEQ</t>
  </si>
  <si>
    <t>Cull Rate and Replacement Heifers, %</t>
  </si>
  <si>
    <r>
      <t xml:space="preserve">COSTS OF PRODUCTION PER CWTEQ
</t>
    </r>
    <r>
      <rPr>
        <b/>
        <sz val="11"/>
        <color rgb="FFC00000"/>
        <rFont val="Calibri"/>
        <family val="2"/>
        <scheme val="minor"/>
      </rPr>
      <t>(NOT applicable if values are dairy only)</t>
    </r>
  </si>
  <si>
    <t>Cull Cow Price, $/cwt</t>
  </si>
  <si>
    <t>Residual Claimant</t>
  </si>
  <si>
    <t>CWT</t>
  </si>
  <si>
    <t>NET RETURN PER COW UNIT</t>
  </si>
  <si>
    <t>TOTAL COSTS OF PRODUCTION Per Cow Unit</t>
  </si>
  <si>
    <t>Annual Production, lbs per Cow</t>
  </si>
  <si>
    <t>TOTAL COST OF PRODUCTION PER ______</t>
  </si>
  <si>
    <t>Ingredient</t>
  </si>
  <si>
    <t>DM %</t>
  </si>
  <si>
    <t>Unit</t>
  </si>
  <si>
    <t>Distillers Dried Grains</t>
  </si>
  <si>
    <t>ton</t>
  </si>
  <si>
    <t>Hominy</t>
  </si>
  <si>
    <t>Corn Silage</t>
  </si>
  <si>
    <t>Shelled Corn</t>
  </si>
  <si>
    <t>Wheat Middlings</t>
  </si>
  <si>
    <t>Wheat</t>
  </si>
  <si>
    <t>Soy Hulls</t>
  </si>
  <si>
    <t>Molasses</t>
  </si>
  <si>
    <t>Corn Gluten Feed</t>
  </si>
  <si>
    <t>Corn Gluten Meal</t>
  </si>
  <si>
    <t>Cottonseed Meal</t>
  </si>
  <si>
    <t>Beet Pulp</t>
  </si>
  <si>
    <t>Oats</t>
  </si>
  <si>
    <t>Whole Cottonseed</t>
  </si>
  <si>
    <t>Poor Quality Hay</t>
  </si>
  <si>
    <t>Linseed Meal</t>
  </si>
  <si>
    <t>Blood Meal</t>
  </si>
  <si>
    <t>Soybeans, raw</t>
  </si>
  <si>
    <t>Canola Meal, solvent</t>
  </si>
  <si>
    <t>Soybean Meal 48%</t>
  </si>
  <si>
    <t>Barley</t>
  </si>
  <si>
    <t>cwt</t>
  </si>
  <si>
    <t>Soybean Meal 44%</t>
  </si>
  <si>
    <t>Sunflower Meal</t>
  </si>
  <si>
    <t>Good Quality Hay</t>
  </si>
  <si>
    <t>Tallow</t>
  </si>
  <si>
    <t>Soybean Meal, expeller</t>
  </si>
  <si>
    <t>Soybeans, heated</t>
  </si>
  <si>
    <t>Earlage/Snaplage</t>
  </si>
  <si>
    <t>High-Moisture Corn</t>
  </si>
  <si>
    <t>Urea</t>
  </si>
  <si>
    <t>Straw</t>
  </si>
  <si>
    <t>Canola Meal, expeller</t>
  </si>
  <si>
    <t>Hi-Pro Distillers</t>
  </si>
  <si>
    <t>Wet Distillers</t>
  </si>
  <si>
    <t>Brewers Dried Grains</t>
  </si>
  <si>
    <t>Wet Brewers</t>
  </si>
  <si>
    <t>Malt Sprouts</t>
  </si>
  <si>
    <t>Wheat Bran</t>
  </si>
  <si>
    <t>Corn Stover</t>
  </si>
  <si>
    <t>Whey</t>
  </si>
  <si>
    <r>
      <rPr>
        <vertAlign val="superscript"/>
        <sz val="11"/>
        <color indexed="8"/>
        <rFont val="Calibri"/>
        <family val="2"/>
      </rPr>
      <t>1</t>
    </r>
    <r>
      <rPr>
        <sz val="11"/>
        <color theme="1"/>
        <rFont val="Calibri"/>
        <family val="2"/>
        <scheme val="minor"/>
      </rPr>
      <t xml:space="preserve">Analysis performed using UW-Madison FeedVal v6.0: </t>
    </r>
  </si>
  <si>
    <t>including feed ingredients displayed in top part of  the table, 4 nutrients: RUP, RDP, NEL, and peNDF; and</t>
  </si>
  <si>
    <t>using general wholesale FOB Midwest input prices. These results might change substantially depending on:</t>
  </si>
  <si>
    <t>local input prices, nutrients, and feed ingredients used for price formation. For more in-depth analyses</t>
  </si>
  <si>
    <t>please use the FeedVal v6.0 decision support tool and local input prices.</t>
  </si>
  <si>
    <t>Lactating Cow</t>
  </si>
  <si>
    <r>
      <t>Total</t>
    </r>
    <r>
      <rPr>
        <b/>
        <vertAlign val="superscript"/>
        <sz val="10"/>
        <rFont val="CG Times (W1)"/>
      </rPr>
      <t>1</t>
    </r>
  </si>
  <si>
    <t>Dry Cow</t>
  </si>
  <si>
    <r>
      <t>Total</t>
    </r>
    <r>
      <rPr>
        <b/>
        <vertAlign val="superscript"/>
        <sz val="10"/>
        <rFont val="Arial"/>
        <family val="2"/>
      </rPr>
      <t>2</t>
    </r>
  </si>
  <si>
    <t>lb/day DM</t>
  </si>
  <si>
    <t>Amt/yr</t>
  </si>
  <si>
    <t>Feed additives</t>
  </si>
  <si>
    <t>Mineral/vitamins</t>
  </si>
  <si>
    <t>lb</t>
  </si>
  <si>
    <t xml:space="preserve">Adapted from "FeedVal v6.o predicted dairy feed prices and ranking for May 2018 by V.E. Cabrera, P. Hoffman, and R. Shaver (http://dairymgt.info/tools/feedval_12/index.php) </t>
  </si>
  <si>
    <t xml:space="preserve">Adapted from "2018 Dairy Cow Budget Large Breed" by Bary Ward, Dianne Shoemaker, Maurice Estridge, Ohio State University Extension (https://brown.osu.edu/program-areas/agriculture-and-natural-resources/enterprise-budgets) </t>
  </si>
  <si>
    <t>Milk sold per cow per year --&gt;</t>
  </si>
  <si>
    <t>As Fed Feed Prices ($/Unit)</t>
  </si>
  <si>
    <t>Expected Loss</t>
  </si>
  <si>
    <t>bu</t>
  </si>
  <si>
    <t>lbs/
Unit</t>
  </si>
  <si>
    <t>Feed Cost</t>
  </si>
  <si>
    <t>Total</t>
  </si>
  <si>
    <t>Free Stall Barns</t>
  </si>
  <si>
    <t>Dry Cow and Calving Facilities</t>
  </si>
  <si>
    <t>Hay Barn</t>
  </si>
  <si>
    <t>Silage Bunker</t>
  </si>
  <si>
    <t>Commodity Shed</t>
  </si>
  <si>
    <t>Protein Concentrate Bin</t>
  </si>
  <si>
    <t>Milking Parlor</t>
  </si>
  <si>
    <t>Manure Storage</t>
  </si>
  <si>
    <t>Feed Handling Equipment</t>
  </si>
  <si>
    <t>Feed Processing Equipment</t>
  </si>
  <si>
    <t>Manure Handling Equipment</t>
  </si>
  <si>
    <t>Stock Trailers</t>
  </si>
  <si>
    <t>Miscellaneous</t>
  </si>
  <si>
    <t>Age of machine in years</t>
  </si>
  <si>
    <t>Tractor 80-149 hp</t>
  </si>
  <si>
    <t>Tractor 150+ hp</t>
  </si>
  <si>
    <t>Combine</t>
  </si>
  <si>
    <t>Baler</t>
  </si>
  <si>
    <t>Tillage</t>
  </si>
  <si>
    <t>Planter</t>
  </si>
  <si>
    <t>Assumed hours of annual use</t>
  </si>
  <si>
    <t xml:space="preserve"> --</t>
  </si>
  <si>
    <t xml:space="preserve"> -- </t>
  </si>
  <si>
    <r>
      <t xml:space="preserve">Table 22.1 reprinted from </t>
    </r>
    <r>
      <rPr>
        <u/>
        <sz val="11"/>
        <color theme="1"/>
        <rFont val="Calibri"/>
        <family val="2"/>
        <scheme val="minor"/>
      </rPr>
      <t>Farm Management</t>
    </r>
    <r>
      <rPr>
        <sz val="11"/>
        <color theme="1"/>
        <rFont val="Calibri"/>
        <family val="2"/>
        <scheme val="minor"/>
      </rPr>
      <t>, 8th ed, 2016</t>
    </r>
  </si>
  <si>
    <t>Original source: Based on ASABE Standards 2013. American Society of Agricultural and Biological Engineers, St Joseph, MI, 2013.</t>
  </si>
  <si>
    <t>Estimated Salvage Value as a Percentage of the New List Price for a Similar Machine</t>
  </si>
  <si>
    <t>Table 1</t>
  </si>
  <si>
    <t>Cost/ Purchase price</t>
  </si>
  <si>
    <t>Costs per cow unit</t>
  </si>
  <si>
    <r>
      <t xml:space="preserve">Estimated Percentage from </t>
    </r>
    <r>
      <rPr>
        <u/>
        <sz val="11"/>
        <color theme="1"/>
        <rFont val="Calibri"/>
        <family val="2"/>
        <scheme val="minor"/>
      </rPr>
      <t>Farm Management</t>
    </r>
    <r>
      <rPr>
        <sz val="11"/>
        <color theme="1"/>
        <rFont val="Calibri"/>
        <family val="2"/>
        <scheme val="minor"/>
      </rPr>
      <t>, 8th ed, 2016:</t>
    </r>
  </si>
  <si>
    <t>Machinery and Buildings</t>
  </si>
  <si>
    <r>
      <t xml:space="preserve"> </t>
    </r>
    <r>
      <rPr>
        <vertAlign val="superscript"/>
        <sz val="11"/>
        <color theme="1"/>
        <rFont val="Calibri"/>
        <family val="2"/>
        <scheme val="minor"/>
      </rPr>
      <t>5</t>
    </r>
    <r>
      <rPr>
        <sz val="11"/>
        <color theme="1"/>
        <rFont val="Calibri"/>
        <family val="2"/>
        <scheme val="minor"/>
      </rPr>
      <t xml:space="preserve">  Depreciation is based on straight-line method</t>
    </r>
    <r>
      <rPr>
        <sz val="11"/>
        <color theme="1"/>
        <rFont val="Calibri"/>
        <family val="2"/>
        <scheme val="minor"/>
      </rPr>
      <t>.</t>
    </r>
  </si>
  <si>
    <r>
      <t xml:space="preserve"> </t>
    </r>
    <r>
      <rPr>
        <vertAlign val="superscript"/>
        <sz val="11"/>
        <color theme="1"/>
        <rFont val="Calibri"/>
        <family val="2"/>
        <scheme val="minor"/>
      </rPr>
      <t>4</t>
    </r>
    <r>
      <rPr>
        <sz val="11"/>
        <color theme="1"/>
        <rFont val="Calibri"/>
        <family val="2"/>
        <scheme val="minor"/>
      </rPr>
      <t xml:space="preserve">  Average value:  (Cost + Salvage value)/2</t>
    </r>
    <r>
      <rPr>
        <sz val="11"/>
        <color theme="1"/>
        <rFont val="Calibri"/>
        <family val="2"/>
        <scheme val="minor"/>
      </rPr>
      <t>.  It represents the average value over the life of the asset.</t>
    </r>
  </si>
  <si>
    <r>
      <t xml:space="preserve"> </t>
    </r>
    <r>
      <rPr>
        <vertAlign val="superscript"/>
        <sz val="11"/>
        <color theme="1"/>
        <rFont val="Calibri"/>
        <family val="2"/>
        <scheme val="minor"/>
      </rPr>
      <t>6</t>
    </r>
    <r>
      <rPr>
        <sz val="11"/>
        <color theme="1"/>
        <rFont val="Calibri"/>
        <family val="2"/>
        <scheme val="minor"/>
      </rPr>
      <t xml:space="preserve">  Enter the applicable interest rate in the shaded cell "J6".  Interest is that rate multipled by average value.</t>
    </r>
  </si>
  <si>
    <t>Interest Rate</t>
  </si>
  <si>
    <t>Herd Size
(lactating + dry cows)</t>
  </si>
  <si>
    <r>
      <t>Depreciation</t>
    </r>
    <r>
      <rPr>
        <u/>
        <vertAlign val="superscript"/>
        <sz val="11"/>
        <color theme="1"/>
        <rFont val="Calibri"/>
        <family val="2"/>
        <scheme val="minor"/>
      </rPr>
      <t>5</t>
    </r>
  </si>
  <si>
    <r>
      <rPr>
        <u/>
        <sz val="11"/>
        <color theme="1"/>
        <rFont val="Calibri"/>
        <family val="2"/>
        <scheme val="minor"/>
      </rPr>
      <t>Interest</t>
    </r>
    <r>
      <rPr>
        <u/>
        <vertAlign val="superscript"/>
        <sz val="11"/>
        <color theme="1"/>
        <rFont val="Calibri"/>
        <family val="2"/>
        <scheme val="minor"/>
      </rPr>
      <t>6</t>
    </r>
    <r>
      <rPr>
        <u/>
        <sz val="11"/>
        <color theme="1"/>
        <rFont val="Calibri"/>
        <family val="2"/>
        <scheme val="minor"/>
      </rPr>
      <t xml:space="preserve"> </t>
    </r>
    <r>
      <rPr>
        <sz val="11"/>
        <color theme="1"/>
        <rFont val="Calibri"/>
        <family val="2"/>
        <scheme val="minor"/>
      </rPr>
      <t>(enter interest rate above)</t>
    </r>
  </si>
  <si>
    <r>
      <rPr>
        <u/>
        <sz val="11"/>
        <color theme="1"/>
        <rFont val="Calibri"/>
        <family val="2"/>
        <scheme val="minor"/>
      </rPr>
      <t>Taxes</t>
    </r>
    <r>
      <rPr>
        <u/>
        <vertAlign val="superscript"/>
        <sz val="11"/>
        <color theme="1"/>
        <rFont val="Calibri"/>
        <family val="2"/>
        <scheme val="minor"/>
      </rPr>
      <t>7</t>
    </r>
    <r>
      <rPr>
        <sz val="11"/>
        <color theme="1"/>
        <rFont val="Calibri"/>
        <family val="2"/>
        <scheme val="minor"/>
      </rPr>
      <t xml:space="preserve">
(enter percent of Avg Value above)</t>
    </r>
  </si>
  <si>
    <r>
      <rPr>
        <u/>
        <sz val="11"/>
        <color theme="1"/>
        <rFont val="Calibri"/>
        <family val="2"/>
        <scheme val="minor"/>
      </rPr>
      <t>Insurance</t>
    </r>
    <r>
      <rPr>
        <u/>
        <vertAlign val="superscript"/>
        <sz val="11"/>
        <color theme="1"/>
        <rFont val="Calibri"/>
        <family val="2"/>
        <scheme val="minor"/>
      </rPr>
      <t>7</t>
    </r>
    <r>
      <rPr>
        <u/>
        <sz val="11"/>
        <color theme="1"/>
        <rFont val="Calibri"/>
        <family val="2"/>
        <scheme val="minor"/>
      </rPr>
      <t xml:space="preserve">
</t>
    </r>
    <r>
      <rPr>
        <sz val="11"/>
        <color theme="1"/>
        <rFont val="Calibri"/>
        <family val="2"/>
        <scheme val="minor"/>
      </rPr>
      <t>(enter percent of Avg Value above)</t>
    </r>
  </si>
  <si>
    <r>
      <t>Useful Life</t>
    </r>
    <r>
      <rPr>
        <vertAlign val="superscript"/>
        <sz val="11"/>
        <color theme="1"/>
        <rFont val="Calibri"/>
        <family val="2"/>
        <scheme val="minor"/>
      </rPr>
      <t>3</t>
    </r>
  </si>
  <si>
    <r>
      <t>Average Value</t>
    </r>
    <r>
      <rPr>
        <vertAlign val="superscript"/>
        <sz val="11"/>
        <color theme="1"/>
        <rFont val="Calibri"/>
        <family val="2"/>
        <scheme val="minor"/>
      </rPr>
      <t>4</t>
    </r>
  </si>
  <si>
    <t xml:space="preserve">     Depreciation</t>
  </si>
  <si>
    <t xml:space="preserve">     Interest</t>
  </si>
  <si>
    <t xml:space="preserve">     Taxes</t>
  </si>
  <si>
    <t xml:space="preserve">     Insurance</t>
  </si>
  <si>
    <t xml:space="preserve">     Housing</t>
  </si>
  <si>
    <t>Livestock:</t>
  </si>
  <si>
    <t>Fixed Costs per Cow:</t>
  </si>
  <si>
    <t>Labor</t>
  </si>
  <si>
    <t>Variable Costs (VC) before labor and interest</t>
  </si>
  <si>
    <t>Variable Cost + Labor</t>
  </si>
  <si>
    <t>Total Variable Costs + Cash FC + Depreciation</t>
  </si>
  <si>
    <t>Total Variable Costs</t>
  </si>
  <si>
    <t xml:space="preserve">Total Variable Cost + Cash Fixed Costs </t>
  </si>
  <si>
    <t>TOTAL: All Costs + Management Charge</t>
  </si>
  <si>
    <t>Estimates</t>
  </si>
  <si>
    <t>Tractor &amp; Loader</t>
  </si>
  <si>
    <t>Trucks</t>
  </si>
  <si>
    <t>Depreciation</t>
  </si>
  <si>
    <t>Interest</t>
  </si>
  <si>
    <t>Taxes</t>
  </si>
  <si>
    <t>Insurance</t>
  </si>
  <si>
    <r>
      <rPr>
        <u/>
        <sz val="11"/>
        <color theme="1"/>
        <rFont val="Calibri"/>
        <family val="2"/>
        <scheme val="minor"/>
      </rPr>
      <t>Housing</t>
    </r>
    <r>
      <rPr>
        <u/>
        <vertAlign val="superscript"/>
        <sz val="11"/>
        <color theme="1"/>
        <rFont val="Calibri"/>
        <family val="2"/>
        <scheme val="minor"/>
      </rPr>
      <t xml:space="preserve">7 </t>
    </r>
    <r>
      <rPr>
        <u/>
        <sz val="11"/>
        <color theme="1"/>
        <rFont val="Calibri"/>
        <family val="2"/>
        <scheme val="minor"/>
      </rPr>
      <t>For Machinery</t>
    </r>
    <r>
      <rPr>
        <sz val="11"/>
        <color theme="1"/>
        <rFont val="Calibri"/>
        <family val="2"/>
        <scheme val="minor"/>
      </rPr>
      <t xml:space="preserve"> (enter percent of Avg Value above)</t>
    </r>
  </si>
  <si>
    <t>Housing</t>
  </si>
  <si>
    <r>
      <t xml:space="preserve">Salvage Value,
</t>
    </r>
    <r>
      <rPr>
        <u/>
        <sz val="11"/>
        <color theme="1"/>
        <rFont val="Calibri"/>
        <family val="2"/>
        <scheme val="minor"/>
      </rPr>
      <t>Percent of Cost</t>
    </r>
    <r>
      <rPr>
        <u/>
        <vertAlign val="superscript"/>
        <sz val="11"/>
        <color theme="1"/>
        <rFont val="Calibri"/>
        <family val="2"/>
        <scheme val="minor"/>
      </rPr>
      <t>2</t>
    </r>
    <r>
      <rPr>
        <sz val="11"/>
        <color theme="1"/>
        <rFont val="Calibri"/>
        <family val="2"/>
        <scheme val="minor"/>
      </rPr>
      <t xml:space="preserve"> For machinery use Table 1 below.  
For Buildings enter 30%</t>
    </r>
  </si>
  <si>
    <r>
      <t xml:space="preserve"> </t>
    </r>
    <r>
      <rPr>
        <vertAlign val="superscript"/>
        <sz val="11"/>
        <color theme="1"/>
        <rFont val="Calibri"/>
        <family val="2"/>
        <scheme val="minor"/>
      </rPr>
      <t>1</t>
    </r>
    <r>
      <rPr>
        <sz val="11"/>
        <color theme="1"/>
        <rFont val="Calibri"/>
        <family val="2"/>
        <scheme val="minor"/>
      </rPr>
      <t xml:space="preserve">  Percent used in the dairy enterprise is a means to breakdown total costs of a building or machine into just that portion used by the dairy.</t>
    </r>
  </si>
  <si>
    <r>
      <t xml:space="preserve">Percent used in the Dairy </t>
    </r>
    <r>
      <rPr>
        <u/>
        <sz val="11"/>
        <color theme="1"/>
        <rFont val="Calibri"/>
        <family val="2"/>
        <scheme val="minor"/>
      </rPr>
      <t>Enterprise</t>
    </r>
    <r>
      <rPr>
        <u/>
        <vertAlign val="superscript"/>
        <sz val="11"/>
        <color theme="1"/>
        <rFont val="Calibri"/>
        <family val="2"/>
        <scheme val="minor"/>
      </rPr>
      <t>1</t>
    </r>
    <r>
      <rPr>
        <sz val="11"/>
        <color theme="1"/>
        <rFont val="Calibri"/>
        <family val="2"/>
        <scheme val="minor"/>
      </rPr>
      <t xml:space="preserve">
Enter a percent from
1% - 100%</t>
    </r>
  </si>
  <si>
    <r>
      <t xml:space="preserve"> </t>
    </r>
    <r>
      <rPr>
        <vertAlign val="superscript"/>
        <sz val="11"/>
        <color theme="1"/>
        <rFont val="Calibri"/>
        <family val="2"/>
        <scheme val="minor"/>
      </rPr>
      <t>3</t>
    </r>
    <r>
      <rPr>
        <sz val="11"/>
        <color theme="1"/>
        <rFont val="Calibri"/>
        <family val="2"/>
        <scheme val="minor"/>
      </rPr>
      <t xml:space="preserve">  Useful life is the total number of years the asset will be in use before disposal (past and future).  Generally:  machinery/equipment: 5-7 years, buildings: 15-25 years.</t>
    </r>
  </si>
  <si>
    <t>Percent Change in Costs</t>
  </si>
  <si>
    <t>Net Return Per Cow 
based on milk price and production</t>
  </si>
  <si>
    <t>Net Return Per CWT
based on milk price and production</t>
  </si>
  <si>
    <t>Note:  All else held constant, no change in feed costs, etc. only price and production change.</t>
  </si>
  <si>
    <t>Change in Net Return Per CWT from Original Scenario</t>
  </si>
  <si>
    <t>Change in Net Return Per Cow from Original Scenario</t>
  </si>
  <si>
    <t>Change in Net Return, Dollars, from Original Scenario</t>
  </si>
  <si>
    <t>% Chng Revenues</t>
  </si>
  <si>
    <t>Production</t>
  </si>
  <si>
    <t>Net Return, Total Dollars
based on milk price and production</t>
  </si>
  <si>
    <r>
      <t xml:space="preserve">Dairy Enterprise Budget
Per Cow Over Three Levels of Production
</t>
    </r>
    <r>
      <rPr>
        <sz val="12"/>
        <color theme="1"/>
        <rFont val="Calibri"/>
        <family val="2"/>
        <scheme val="minor"/>
      </rPr>
      <t>(One cow unit = 85% lactating, 15% dry)</t>
    </r>
  </si>
  <si>
    <t>Replacement Heifers Price, per heifer</t>
  </si>
  <si>
    <r>
      <t xml:space="preserve">     Insurance, </t>
    </r>
    <r>
      <rPr>
        <sz val="8"/>
        <color rgb="FFC00000"/>
        <rFont val="Calibri"/>
        <family val="2"/>
        <scheme val="minor"/>
      </rPr>
      <t>percent of repl. heifer &amp; cull cow price</t>
    </r>
  </si>
  <si>
    <r>
      <t xml:space="preserve">     Interest, </t>
    </r>
    <r>
      <rPr>
        <sz val="8"/>
        <color rgb="FFC00000"/>
        <rFont val="Calibri"/>
        <family val="2"/>
        <scheme val="minor"/>
      </rPr>
      <t>percent of repl. heifer &amp; cull cow price</t>
    </r>
  </si>
  <si>
    <t>Feed Costs estimate (Info only, actual feed cost next row)</t>
  </si>
  <si>
    <t>Agronomic (chemical, fertilizer, seed)</t>
  </si>
  <si>
    <r>
      <t>Herd size (lactating + dry)</t>
    </r>
    <r>
      <rPr>
        <vertAlign val="superscript"/>
        <sz val="11"/>
        <color theme="1"/>
        <rFont val="Calibri"/>
        <family val="2"/>
        <scheme val="minor"/>
      </rPr>
      <t>1</t>
    </r>
  </si>
  <si>
    <t>Each cow unit is based on 85% lactating cow and 15% dry cow, representing cows lactating 85% of the year and dry 15% of the year.  Herd size is a combination of lactating and dry cows.</t>
  </si>
  <si>
    <r>
      <t>Bull calf</t>
    </r>
    <r>
      <rPr>
        <vertAlign val="superscript"/>
        <sz val="11"/>
        <color theme="1"/>
        <rFont val="Calibri"/>
        <family val="2"/>
        <scheme val="minor"/>
      </rPr>
      <t>2</t>
    </r>
  </si>
  <si>
    <r>
      <t>Heifer</t>
    </r>
    <r>
      <rPr>
        <vertAlign val="superscript"/>
        <sz val="11"/>
        <color theme="1"/>
        <rFont val="Calibri"/>
        <family val="2"/>
        <scheme val="minor"/>
      </rPr>
      <t>2</t>
    </r>
  </si>
  <si>
    <t>Bull and Heifer calf income is determined by the price of each, calving interval and death loss.  Calving interval provides how much of a calf each cow unit has in one year.</t>
  </si>
  <si>
    <r>
      <t>Feed</t>
    </r>
    <r>
      <rPr>
        <vertAlign val="superscript"/>
        <sz val="11"/>
        <color theme="1"/>
        <rFont val="Calibri"/>
        <family val="2"/>
        <scheme val="minor"/>
      </rPr>
      <t>3</t>
    </r>
  </si>
  <si>
    <t>Operating interest is based on the rate entered multiplied by half the variable costs.  This assumes that money in variable costs is tied up for half a year at any given time.  Marketing and Hauling costs are not included as they are typically a deduction on the milk check.</t>
  </si>
  <si>
    <r>
      <t>Replacement heifers</t>
    </r>
    <r>
      <rPr>
        <vertAlign val="superscript"/>
        <sz val="11"/>
        <color theme="1"/>
        <rFont val="Calibri"/>
        <family val="2"/>
        <scheme val="minor"/>
      </rPr>
      <t>4</t>
    </r>
  </si>
  <si>
    <r>
      <t>Operating interest</t>
    </r>
    <r>
      <rPr>
        <vertAlign val="superscript"/>
        <sz val="11"/>
        <color theme="1"/>
        <rFont val="Calibri"/>
        <family val="2"/>
        <scheme val="minor"/>
      </rPr>
      <t>5</t>
    </r>
    <r>
      <rPr>
        <sz val="11"/>
        <color theme="1"/>
        <rFont val="Calibri"/>
        <family val="2"/>
        <scheme val="minor"/>
      </rPr>
      <t>,</t>
    </r>
    <r>
      <rPr>
        <sz val="11"/>
        <color rgb="FFC00000"/>
        <rFont val="Calibri"/>
        <family val="2"/>
        <scheme val="minor"/>
      </rPr>
      <t xml:space="preserve"> interest rate</t>
    </r>
  </si>
  <si>
    <t>In this budget heifer calves are sold as income and replacement heifers are purchased back.  Replacement costs are based on prices and cull rates.  Care should be taken to not include costs for raising replacements or if all costs are included then do not also enter a cost for purchasing replacement heifers.</t>
  </si>
  <si>
    <r>
      <t>Machinery/Bldg (see M&amp;B Cost Calc tab)</t>
    </r>
    <r>
      <rPr>
        <vertAlign val="superscript"/>
        <sz val="11"/>
        <color theme="1"/>
        <rFont val="Calibri"/>
        <family val="2"/>
        <scheme val="minor"/>
      </rPr>
      <t>6</t>
    </r>
  </si>
  <si>
    <t xml:space="preserve">The green shaded cells show estimates of fixed costs for machinery and buildings as calculated on the "Mach and Bldg Cost calculator" tab. Users can use this as information, but must enter their own estimates.  The "Mach and Bldg Cost calculator" tab follow recommendations in "Kay, Ronald d., William M. Edwards, and Patricia A. Duffy. Farm Management, 8th ed., McGraw Hill, 2016."   Note that the costs of housing machinery is estimated in a category titled "Housing" and is not by itself included in depreciation.  If buildings for housing machinery are indiviually listed and depreciation and other fixed costs calcualted then the housing number would be zero. </t>
  </si>
  <si>
    <r>
      <t xml:space="preserve"> </t>
    </r>
    <r>
      <rPr>
        <vertAlign val="superscript"/>
        <sz val="11"/>
        <color theme="1"/>
        <rFont val="Calibri"/>
        <family val="2"/>
        <scheme val="minor"/>
      </rPr>
      <t>7</t>
    </r>
    <r>
      <rPr>
        <sz val="11"/>
        <color theme="1"/>
        <rFont val="Calibri"/>
        <family val="2"/>
        <scheme val="minor"/>
      </rPr>
      <t xml:space="preserve">  Taxes, Insurance, and Housing are a percentage of cost.  Enter the applicable percentage in the shaded cells above each column.  Taxes may be zero in some states.  Rule of Thumb percentages from Kay, Edwards, and Duffy (</t>
    </r>
    <r>
      <rPr>
        <u/>
        <sz val="11"/>
        <color theme="1"/>
        <rFont val="Calibri"/>
        <family val="2"/>
        <scheme val="minor"/>
      </rPr>
      <t>Farm Management</t>
    </r>
    <r>
      <rPr>
        <sz val="11"/>
        <color theme="1"/>
        <rFont val="Calibri"/>
        <family val="2"/>
        <scheme val="minor"/>
      </rPr>
      <t>, 8th ed.) are shown in row 5 just above the shaded cells.
Note, if buildings for housing machinery are included on the machinery line items then the "Housing" value would be zero as costs for fixed cost of that housing is already valued in the line items where the buildings ar listed.</t>
    </r>
  </si>
  <si>
    <r>
      <t>Buildings</t>
    </r>
    <r>
      <rPr>
        <b/>
        <u/>
        <vertAlign val="superscript"/>
        <sz val="14"/>
        <color theme="1"/>
        <rFont val="Calibri"/>
        <family val="2"/>
        <scheme val="minor"/>
      </rPr>
      <t>(see footnote 7)</t>
    </r>
  </si>
  <si>
    <r>
      <t>Machinery/Equipment</t>
    </r>
    <r>
      <rPr>
        <b/>
        <u/>
        <vertAlign val="superscript"/>
        <sz val="14"/>
        <color theme="1"/>
        <rFont val="Calibri"/>
        <family val="2"/>
        <scheme val="minor"/>
      </rPr>
      <t>(see 7)</t>
    </r>
  </si>
  <si>
    <r>
      <t>Hired labor that is salaried/fixed charge</t>
    </r>
    <r>
      <rPr>
        <vertAlign val="superscript"/>
        <sz val="11"/>
        <color theme="1"/>
        <rFont val="Calibri"/>
        <family val="2"/>
        <scheme val="minor"/>
      </rPr>
      <t>7</t>
    </r>
  </si>
  <si>
    <t>Hired labor is typically considered a variable costs, that is, if no production is taking place then there is no corresponding labor.  However, there are situations when a hired labor costs may be considered more "fixed," because the labor is salaried or will not be lost if production is lost.</t>
  </si>
  <si>
    <t>Note on Feed Costs</t>
  </si>
  <si>
    <t xml:space="preserve">Feed is a major expense in the dairy enterprise and therefore very important to get it right, however, it is often one of the more difficult expenses to estimate.  Different rations throughout the year and different rations for different groups of cows is part of the challenge.  How to value raised feed is another big challenge.
The tab titled "Feed Costs Calculator" allows the user to incorporate a ration for each production level and for lactating versus dry cows.  Recording rations is aided by "FeedVal v6.o predicted dairy feed prices and ranking for May 2018" (http://dairymgt.info/tools/feedval_12/index.php) by Cabrera, V.E., P. Hoffman, and R. Shaver.  
The result of "Feed Costs Calculator" tab is shown in the Enterprise Budget on the green-shaded "Feed Costs estimate" line.  This is just for information and is not included in the calculatuion of variable costs.  The user must still enter actual feed costs on the next line.  
The "Feed Costs estimates" are based on all feedstuffs being purchased regardless of whether the feedstuf was purchased or raised (purchase of raised feed can be thought of as buying it from yourself, that is, your dairy enterprise buying it from your feed growing enterprise). 
For those who raise some of their own feed, you want to be sure NOT to include the purchase price of the raised feed and also includes costs for seed, fertilizer, labor and etc. that went into raising the feed.  Doing so would double count those feed costs.  
If you want to include raised feed costs as the costs of seed, fertilizer, labor and etc. then the same should either not be included on the "Feed Costs Calculator" tab or given a price of zero.  The point is, be careful of double counting feed costs.  </t>
  </si>
  <si>
    <t>See "Note on Feed Costs" tab</t>
  </si>
  <si>
    <t>Difference
New - Old</t>
  </si>
  <si>
    <t>New Value</t>
  </si>
  <si>
    <t>Sensitivity 2, Table 1
Allows new values for all line items to be made</t>
  </si>
  <si>
    <t>Percent Increase/Decrease in Costs:</t>
  </si>
  <si>
    <t>Milk Price:</t>
  </si>
  <si>
    <t>Sensitivity 2, Table 2
Sensitivity based on percent change in costs and/or change in milk price</t>
  </si>
  <si>
    <t>Original Values</t>
  </si>
  <si>
    <r>
      <rPr>
        <b/>
        <sz val="11"/>
        <color theme="1"/>
        <rFont val="Calibri"/>
        <family val="2"/>
        <scheme val="minor"/>
      </rPr>
      <t xml:space="preserve">Net Return Per Cow </t>
    </r>
    <r>
      <rPr>
        <sz val="11"/>
        <color theme="1"/>
        <rFont val="Calibri"/>
        <family val="2"/>
        <scheme val="minor"/>
      </rPr>
      <t xml:space="preserve">
based on percent changes in total costs and revenues</t>
    </r>
  </si>
  <si>
    <r>
      <rPr>
        <b/>
        <sz val="11"/>
        <color theme="1"/>
        <rFont val="Calibri"/>
        <family val="2"/>
        <scheme val="minor"/>
      </rPr>
      <t xml:space="preserve">Net Return Per CWT </t>
    </r>
    <r>
      <rPr>
        <sz val="11"/>
        <color theme="1"/>
        <rFont val="Calibri"/>
        <family val="2"/>
        <scheme val="minor"/>
      </rPr>
      <t xml:space="preserve">
based on percent changes in total costs and revenues</t>
    </r>
  </si>
  <si>
    <r>
      <rPr>
        <b/>
        <sz val="11"/>
        <color theme="1"/>
        <rFont val="Calibri"/>
        <family val="2"/>
        <scheme val="minor"/>
      </rPr>
      <t xml:space="preserve">Net Return, Total Dollars, </t>
    </r>
    <r>
      <rPr>
        <sz val="11"/>
        <color theme="1"/>
        <rFont val="Calibri"/>
        <family val="2"/>
        <scheme val="minor"/>
      </rPr>
      <t xml:space="preserve">
based on percent changes in total costs and revenues</t>
    </r>
  </si>
  <si>
    <r>
      <t xml:space="preserve">Sensitivity 1
Following are sensitivity comparisons of two variables, where the body of table provides net returns per cow, per cwt, and total dollars
The first set is percent change in total costs versus revenues
The second set is change production per cow versus milk price
</t>
    </r>
    <r>
      <rPr>
        <b/>
        <sz val="14"/>
        <color rgb="FFC00000"/>
        <rFont val="Calibri"/>
        <family val="2"/>
        <scheme val="minor"/>
      </rPr>
      <t>NOTE:  Yellow-Shaded cells require user input</t>
    </r>
  </si>
  <si>
    <t xml:space="preserve">Mailbox Milk Price </t>
  </si>
  <si>
    <t>Yellow-shaded cells require user input.</t>
  </si>
  <si>
    <t>Note, cell "O42" shows the estimate of total machinery and building fixed costs, or cells I42-M42 for each individual item.</t>
  </si>
  <si>
    <t>TOTALS</t>
  </si>
  <si>
    <t>Total FC Per Cow</t>
  </si>
  <si>
    <r>
      <t xml:space="preserve">Machinery and Building costs are often not easy to estimate and often quite variable under different farm sizes, types of production, geographic location and the skills and knowledge of management and labor in the farm business.  Therefore, providing an average estimate is just that - average, with a large range around the average.  Totals are transferred to the Enterprise Budget, but only as a benchmark, or information.  Users must still enter their own fixed costs.
Below is a method for estimating machinery and building costs based on information provided by Kay, Edwards, and Duffy in their </t>
    </r>
    <r>
      <rPr>
        <u/>
        <sz val="11"/>
        <color theme="1"/>
        <rFont val="Calibri"/>
        <family val="2"/>
        <scheme val="minor"/>
      </rPr>
      <t>Farm Management</t>
    </r>
    <r>
      <rPr>
        <sz val="11"/>
        <color theme="1"/>
        <rFont val="Calibri"/>
        <family val="2"/>
        <scheme val="minor"/>
      </rPr>
      <t>, 8th ed. textbook.</t>
    </r>
  </si>
  <si>
    <t>Note, yello-shaded cells are ones requiring user input.</t>
  </si>
  <si>
    <r>
      <t xml:space="preserve"> </t>
    </r>
    <r>
      <rPr>
        <vertAlign val="superscript"/>
        <sz val="11"/>
        <color theme="1"/>
        <rFont val="Calibri"/>
        <family val="2"/>
        <scheme val="minor"/>
      </rPr>
      <t>2</t>
    </r>
    <r>
      <rPr>
        <sz val="11"/>
        <color theme="1"/>
        <rFont val="Calibri"/>
        <family val="2"/>
        <scheme val="minor"/>
      </rPr>
      <t xml:space="preserve">  Salvage Values are based on a percentage of cost.  For machinery, enter the applicable percentage values from Table 1 below.  For buildings, enter 30%.</t>
    </r>
  </si>
  <si>
    <t xml:space="preserve">The enterprise budget is a means to analyze the profitability of a particular enterprise.  In this case a dairy enterprise.  
The spreadsheet is constructed to assess multiple production levels.  Calculators (aids) for machinery and building fixed costs and feed costs are available.  
There are two tabs for evaluating the sensitivity of the budget esimates.  
Details of construction are provided in footnotes and in some cases cell comments.  </t>
  </si>
  <si>
    <r>
      <rPr>
        <b/>
        <u/>
        <sz val="11"/>
        <color theme="1"/>
        <rFont val="Calibri"/>
        <family val="2"/>
        <scheme val="minor"/>
      </rPr>
      <t>References:</t>
    </r>
    <r>
      <rPr>
        <sz val="11"/>
        <color theme="1"/>
        <rFont val="Calibri"/>
        <family val="2"/>
        <scheme val="minor"/>
      </rPr>
      <t xml:space="preserve">
This spreadsheet was adapted from the following sources:
Kay, Ronald d., William M. Edwards, and Patricia A. Duffy. </t>
    </r>
    <r>
      <rPr>
        <u/>
        <sz val="11"/>
        <color theme="1"/>
        <rFont val="Calibri"/>
        <family val="2"/>
        <scheme val="minor"/>
      </rPr>
      <t>Farm Management</t>
    </r>
    <r>
      <rPr>
        <sz val="11"/>
        <color theme="1"/>
        <rFont val="Calibri"/>
        <family val="2"/>
        <scheme val="minor"/>
      </rPr>
      <t xml:space="preserve">, 8th ed., McGraw Hill, 2016.
Cabrera, V.E., P. Hoffman, and R. Shaver.  "FeedVal v6.o predicted dairy feed prices and ranking for May 2018" (http://dairymgt.info/tools/feedval_12/index.php) 
Barry Ward, Dianne Shoemaker, Maurice Eastridge. ', Extension Dairy Specialist, Department of Animal Sciences.  "2018 Dairy Cow Budget - Large Breed," The Ohio State University Extension, 5/25/2018. ( https://brown.osu.edu/program-areas/agriculture-and-natural-resources/enterprise-budgets)  
</t>
    </r>
  </si>
  <si>
    <r>
      <rPr>
        <b/>
        <sz val="14"/>
        <color rgb="FFC00000"/>
        <rFont val="Calibri"/>
        <family val="2"/>
        <scheme val="minor"/>
      </rPr>
      <t xml:space="preserve">
   </t>
    </r>
    <r>
      <rPr>
        <sz val="14"/>
        <color theme="1"/>
        <rFont val="Calibri"/>
        <family val="2"/>
        <scheme val="minor"/>
      </rPr>
      <t xml:space="preserve">
</t>
    </r>
    <r>
      <rPr>
        <b/>
        <u/>
        <sz val="24"/>
        <color theme="1"/>
        <rFont val="Calibri"/>
        <family val="2"/>
        <scheme val="minor"/>
      </rPr>
      <t>Dairy Enterprise Budget</t>
    </r>
    <r>
      <rPr>
        <sz val="14"/>
        <color theme="1"/>
        <rFont val="Calibri"/>
        <family val="2"/>
        <scheme val="minor"/>
      </rPr>
      <t xml:space="preserve">
</t>
    </r>
    <r>
      <rPr>
        <b/>
        <sz val="14"/>
        <color rgb="FFC00000"/>
        <rFont val="Calibri"/>
        <family val="2"/>
        <scheme val="minor"/>
      </rPr>
      <t>DRAFT   DRAFT   DRAFT   DRAFT   DRAFT   DRAFT</t>
    </r>
    <r>
      <rPr>
        <sz val="14"/>
        <color theme="1"/>
        <rFont val="Calibri"/>
        <family val="2"/>
        <scheme val="minor"/>
      </rPr>
      <t xml:space="preserve">
</t>
    </r>
    <r>
      <rPr>
        <sz val="12"/>
        <color theme="1"/>
        <rFont val="Calibri"/>
        <family val="2"/>
        <scheme val="minor"/>
      </rPr>
      <t>January 2019
by
Kevin Bernhardt
UW-Extension, Center for Dairy Profitability, and UW-Platteville
bernhark@uwplatt.edu
608-342-1365
Version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</si>
</sst>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0.0"/>
    <numFmt numFmtId="167" formatCode="0.000"/>
    <numFmt numFmtId="168" formatCode="_(* #,##0.0000_);_(* \(#,##0.0000\);_(* &quot;-&quot;??_);_(@_)"/>
  </numFmts>
  <fonts count="3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11"/>
      <color rgb="FFC00000"/>
      <name val="Calibri"/>
      <family val="2"/>
      <scheme val="minor"/>
    </font>
    <font>
      <b/>
      <i/>
      <sz val="11"/>
      <color theme="1"/>
      <name val="Calibri"/>
      <family val="2"/>
      <scheme val="minor"/>
    </font>
    <font>
      <sz val="9"/>
      <color theme="1"/>
      <name val="Calibri"/>
      <family val="2"/>
      <scheme val="minor"/>
    </font>
    <font>
      <b/>
      <sz val="11"/>
      <color rgb="FFC00000"/>
      <name val="Calibri"/>
      <family val="2"/>
      <scheme val="minor"/>
    </font>
    <font>
      <sz val="9"/>
      <color indexed="81"/>
      <name val="Tahoma"/>
      <family val="2"/>
    </font>
    <font>
      <sz val="10"/>
      <color theme="1"/>
      <name val="Calibri"/>
      <family val="2"/>
      <scheme val="minor"/>
    </font>
    <font>
      <u/>
      <sz val="11"/>
      <color theme="1"/>
      <name val="Calibri"/>
      <family val="2"/>
      <scheme val="minor"/>
    </font>
    <font>
      <b/>
      <sz val="9"/>
      <color indexed="8"/>
      <name val="Calibri"/>
      <family val="2"/>
    </font>
    <font>
      <b/>
      <sz val="11"/>
      <color indexed="8"/>
      <name val="Calibri"/>
      <family val="2"/>
    </font>
    <font>
      <sz val="11"/>
      <color indexed="8"/>
      <name val="Calibri"/>
      <family val="2"/>
    </font>
    <font>
      <vertAlign val="superscript"/>
      <sz val="11"/>
      <color indexed="8"/>
      <name val="Calibri"/>
      <family val="2"/>
    </font>
    <font>
      <sz val="10"/>
      <name val="Arial"/>
      <family val="2"/>
    </font>
    <font>
      <b/>
      <sz val="10"/>
      <name val="Arial"/>
      <family val="2"/>
    </font>
    <font>
      <b/>
      <sz val="10"/>
      <name val="CG Times (W1)"/>
      <family val="1"/>
    </font>
    <font>
      <b/>
      <vertAlign val="superscript"/>
      <sz val="10"/>
      <name val="CG Times (W1)"/>
    </font>
    <font>
      <b/>
      <vertAlign val="superscript"/>
      <sz val="10"/>
      <name val="Arial"/>
      <family val="2"/>
    </font>
    <font>
      <sz val="10"/>
      <name val="CG Times (W1)"/>
      <family val="1"/>
    </font>
    <font>
      <i/>
      <sz val="10"/>
      <name val="CG Times (W1)"/>
      <family val="1"/>
    </font>
    <font>
      <i/>
      <sz val="9"/>
      <color theme="1"/>
      <name val="Calibri"/>
      <family val="2"/>
      <scheme val="minor"/>
    </font>
    <font>
      <vertAlign val="superscript"/>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u/>
      <vertAlign val="superscript"/>
      <sz val="11"/>
      <color theme="1"/>
      <name val="Calibri"/>
      <family val="2"/>
      <scheme val="minor"/>
    </font>
    <font>
      <b/>
      <u/>
      <sz val="24"/>
      <color theme="1"/>
      <name val="Calibri"/>
      <family val="2"/>
      <scheme val="minor"/>
    </font>
    <font>
      <b/>
      <sz val="9"/>
      <color indexed="81"/>
      <name val="Tahoma"/>
      <family val="2"/>
    </font>
    <font>
      <b/>
      <u/>
      <sz val="8"/>
      <color theme="1"/>
      <name val="Calibri"/>
      <family val="2"/>
      <scheme val="minor"/>
    </font>
    <font>
      <b/>
      <sz val="14"/>
      <color rgb="FFC00000"/>
      <name val="Calibri"/>
      <family val="2"/>
      <scheme val="minor"/>
    </font>
    <font>
      <b/>
      <u/>
      <sz val="14"/>
      <color theme="1"/>
      <name val="Calibri"/>
      <family val="2"/>
      <scheme val="minor"/>
    </font>
    <font>
      <b/>
      <sz val="12"/>
      <color theme="1"/>
      <name val="Calibri"/>
      <family val="2"/>
      <scheme val="minor"/>
    </font>
    <font>
      <sz val="8"/>
      <color rgb="FFC00000"/>
      <name val="Calibri"/>
      <family val="2"/>
      <scheme val="minor"/>
    </font>
    <font>
      <i/>
      <sz val="10"/>
      <color theme="1"/>
      <name val="Calibri"/>
      <family val="2"/>
      <scheme val="minor"/>
    </font>
    <font>
      <b/>
      <u/>
      <vertAlign val="superscript"/>
      <sz val="14"/>
      <color theme="1"/>
      <name val="Calibri"/>
      <family val="2"/>
      <scheme val="minor"/>
    </font>
    <font>
      <b/>
      <sz val="12"/>
      <name val="CG Times (W1)"/>
      <family val="1"/>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9"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4">
    <xf numFmtId="0" fontId="0" fillId="0" borderId="0" xfId="0"/>
    <xf numFmtId="0" fontId="2" fillId="0" borderId="0" xfId="0" applyFont="1"/>
    <xf numFmtId="0" fontId="0" fillId="0" borderId="1" xfId="0" applyBorder="1"/>
    <xf numFmtId="0" fontId="0" fillId="0" borderId="1" xfId="0" applyBorder="1" applyAlignment="1">
      <alignment horizontal="right"/>
    </xf>
    <xf numFmtId="164" fontId="0" fillId="0" borderId="1" xfId="1" applyNumberFormat="1" applyFont="1" applyBorder="1"/>
    <xf numFmtId="2" fontId="0" fillId="0" borderId="1" xfId="0" applyNumberFormat="1" applyBorder="1"/>
    <xf numFmtId="43" fontId="5" fillId="0" borderId="1" xfId="1" applyFont="1" applyBorder="1"/>
    <xf numFmtId="0" fontId="4" fillId="0" borderId="1" xfId="0" applyFont="1" applyBorder="1" applyAlignment="1">
      <alignment horizontal="right"/>
    </xf>
    <xf numFmtId="164" fontId="4" fillId="0" borderId="1" xfId="0" applyNumberFormat="1" applyFont="1" applyBorder="1" applyAlignment="1">
      <alignment horizontal="right"/>
    </xf>
    <xf numFmtId="43" fontId="4" fillId="0" borderId="1" xfId="0" applyNumberFormat="1" applyFont="1" applyBorder="1" applyAlignment="1">
      <alignment horizontal="right"/>
    </xf>
    <xf numFmtId="164" fontId="0" fillId="0" borderId="1" xfId="0" applyNumberFormat="1" applyBorder="1"/>
    <xf numFmtId="43" fontId="0" fillId="0" borderId="1" xfId="0" applyNumberFormat="1" applyBorder="1"/>
    <xf numFmtId="0" fontId="0" fillId="0" borderId="2" xfId="0" applyBorder="1"/>
    <xf numFmtId="0" fontId="0" fillId="0" borderId="3" xfId="0" applyBorder="1" applyAlignment="1">
      <alignment horizontal="right"/>
    </xf>
    <xf numFmtId="0" fontId="0" fillId="0" borderId="3" xfId="0" applyBorder="1"/>
    <xf numFmtId="0" fontId="4" fillId="0" borderId="3" xfId="0" applyFont="1" applyBorder="1" applyAlignment="1">
      <alignment horizontal="right"/>
    </xf>
    <xf numFmtId="0" fontId="0" fillId="0" borderId="8" xfId="0" applyBorder="1"/>
    <xf numFmtId="164" fontId="0" fillId="0" borderId="8" xfId="1" applyNumberFormat="1" applyFont="1" applyBorder="1"/>
    <xf numFmtId="164" fontId="0" fillId="0" borderId="8" xfId="1" applyNumberFormat="1" applyFont="1" applyFill="1" applyBorder="1"/>
    <xf numFmtId="164" fontId="4" fillId="0" borderId="8" xfId="0" applyNumberFormat="1" applyFont="1" applyBorder="1" applyAlignment="1">
      <alignment horizontal="right"/>
    </xf>
    <xf numFmtId="43" fontId="4" fillId="0" borderId="8" xfId="0" applyNumberFormat="1" applyFont="1" applyBorder="1" applyAlignment="1">
      <alignment horizontal="right"/>
    </xf>
    <xf numFmtId="164" fontId="0" fillId="0" borderId="8" xfId="0" applyNumberFormat="1" applyBorder="1"/>
    <xf numFmtId="43" fontId="0" fillId="0" borderId="8" xfId="0" applyNumberFormat="1" applyBorder="1"/>
    <xf numFmtId="0" fontId="0" fillId="0" borderId="9" xfId="0" applyBorder="1"/>
    <xf numFmtId="43" fontId="0" fillId="0" borderId="10" xfId="0" applyNumberFormat="1" applyBorder="1"/>
    <xf numFmtId="43" fontId="0" fillId="0" borderId="11" xfId="0" applyNumberFormat="1" applyBorder="1"/>
    <xf numFmtId="0" fontId="0" fillId="0" borderId="12" xfId="0" applyBorder="1"/>
    <xf numFmtId="0" fontId="0" fillId="0" borderId="13" xfId="0" applyBorder="1"/>
    <xf numFmtId="0" fontId="0" fillId="0" borderId="15" xfId="0" applyBorder="1"/>
    <xf numFmtId="0" fontId="3" fillId="0" borderId="15" xfId="0" applyFont="1" applyBorder="1"/>
    <xf numFmtId="0" fontId="3" fillId="0" borderId="15" xfId="0" applyFont="1" applyBorder="1" applyAlignment="1">
      <alignment horizontal="left"/>
    </xf>
    <xf numFmtId="0" fontId="0" fillId="0" borderId="16" xfId="0" applyBorder="1"/>
    <xf numFmtId="0" fontId="0" fillId="0" borderId="10" xfId="0" applyBorder="1"/>
    <xf numFmtId="0" fontId="0" fillId="0" borderId="0" xfId="0" applyBorder="1" applyAlignment="1">
      <alignment horizontal="right"/>
    </xf>
    <xf numFmtId="165" fontId="0" fillId="0" borderId="0" xfId="3" applyNumberFormat="1" applyFont="1" applyBorder="1" applyAlignment="1">
      <alignment horizontal="right"/>
    </xf>
    <xf numFmtId="9" fontId="0" fillId="0" borderId="0" xfId="3" applyNumberFormat="1" applyFont="1" applyBorder="1" applyAlignment="1">
      <alignment horizontal="right"/>
    </xf>
    <xf numFmtId="164" fontId="0" fillId="0" borderId="0" xfId="1" applyNumberFormat="1" applyFont="1" applyBorder="1"/>
    <xf numFmtId="0" fontId="0" fillId="0" borderId="0" xfId="0" applyBorder="1"/>
    <xf numFmtId="1" fontId="0" fillId="0" borderId="0" xfId="0" applyNumberFormat="1" applyBorder="1"/>
    <xf numFmtId="164" fontId="0" fillId="0" borderId="0" xfId="0" applyNumberFormat="1" applyBorder="1"/>
    <xf numFmtId="164" fontId="4" fillId="0" borderId="0" xfId="0" applyNumberFormat="1" applyFont="1" applyBorder="1" applyAlignment="1">
      <alignment horizontal="right"/>
    </xf>
    <xf numFmtId="0" fontId="4" fillId="0" borderId="0" xfId="0" applyFont="1" applyBorder="1" applyAlignment="1">
      <alignment horizontal="right"/>
    </xf>
    <xf numFmtId="43" fontId="4" fillId="0" borderId="0" xfId="0" applyNumberFormat="1" applyFont="1" applyBorder="1" applyAlignment="1">
      <alignment horizontal="right"/>
    </xf>
    <xf numFmtId="0" fontId="6" fillId="0" borderId="3" xfId="0" applyFont="1" applyBorder="1" applyAlignment="1">
      <alignment horizontal="right"/>
    </xf>
    <xf numFmtId="0" fontId="6" fillId="0" borderId="1" xfId="0" applyFont="1" applyBorder="1" applyAlignment="1">
      <alignment horizontal="right"/>
    </xf>
    <xf numFmtId="164" fontId="6" fillId="0" borderId="1" xfId="0" applyNumberFormat="1" applyFont="1" applyBorder="1" applyAlignment="1">
      <alignment horizontal="right"/>
    </xf>
    <xf numFmtId="164" fontId="6" fillId="0" borderId="8" xfId="0" applyNumberFormat="1" applyFont="1" applyBorder="1" applyAlignment="1">
      <alignment horizontal="right"/>
    </xf>
    <xf numFmtId="164" fontId="6" fillId="0" borderId="0" xfId="0" applyNumberFormat="1" applyFont="1" applyBorder="1" applyAlignment="1">
      <alignment horizontal="right"/>
    </xf>
    <xf numFmtId="164" fontId="6" fillId="0" borderId="0" xfId="1" applyNumberFormat="1" applyFont="1" applyBorder="1" applyAlignment="1">
      <alignment horizontal="right"/>
    </xf>
    <xf numFmtId="2" fontId="0" fillId="3" borderId="1" xfId="0" applyNumberFormat="1" applyFill="1" applyBorder="1" applyAlignment="1">
      <alignment horizontal="right"/>
    </xf>
    <xf numFmtId="0" fontId="0" fillId="3" borderId="8" xfId="0" applyFill="1" applyBorder="1" applyAlignment="1">
      <alignment horizontal="right"/>
    </xf>
    <xf numFmtId="0" fontId="0" fillId="3" borderId="1" xfId="0" applyFill="1" applyBorder="1" applyAlignment="1">
      <alignment horizontal="right"/>
    </xf>
    <xf numFmtId="9" fontId="0" fillId="3" borderId="1" xfId="3" applyNumberFormat="1" applyFont="1" applyFill="1" applyBorder="1" applyAlignment="1">
      <alignment horizontal="right"/>
    </xf>
    <xf numFmtId="164" fontId="0" fillId="3" borderId="1" xfId="1" applyNumberFormat="1" applyFont="1" applyFill="1" applyBorder="1"/>
    <xf numFmtId="0" fontId="0" fillId="3" borderId="1" xfId="0" applyFill="1" applyBorder="1"/>
    <xf numFmtId="2" fontId="0" fillId="3" borderId="8" xfId="0" applyNumberFormat="1" applyFill="1" applyBorder="1" applyAlignment="1">
      <alignment horizontal="right"/>
    </xf>
    <xf numFmtId="165" fontId="0" fillId="3" borderId="1" xfId="3" applyNumberFormat="1" applyFont="1" applyFill="1" applyBorder="1" applyAlignment="1">
      <alignment horizontal="right"/>
    </xf>
    <xf numFmtId="165" fontId="0" fillId="3" borderId="8" xfId="3" applyNumberFormat="1" applyFont="1" applyFill="1" applyBorder="1" applyAlignment="1">
      <alignment horizontal="right"/>
    </xf>
    <xf numFmtId="9" fontId="0" fillId="3" borderId="8" xfId="3" applyNumberFormat="1" applyFont="1" applyFill="1" applyBorder="1" applyAlignment="1">
      <alignment horizontal="right"/>
    </xf>
    <xf numFmtId="164" fontId="0" fillId="3" borderId="8" xfId="1" applyNumberFormat="1" applyFont="1" applyFill="1" applyBorder="1"/>
    <xf numFmtId="0" fontId="0" fillId="3" borderId="8" xfId="0" applyFill="1" applyBorder="1"/>
    <xf numFmtId="0" fontId="0" fillId="0" borderId="2" xfId="0" applyBorder="1" applyAlignment="1">
      <alignment vertical="center"/>
    </xf>
    <xf numFmtId="0" fontId="7" fillId="0" borderId="0" xfId="0" applyFont="1" applyAlignment="1">
      <alignment horizontal="center" vertical="center"/>
    </xf>
    <xf numFmtId="0" fontId="3" fillId="0" borderId="4" xfId="0" applyFont="1" applyBorder="1"/>
    <xf numFmtId="0" fontId="4" fillId="0" borderId="5" xfId="0" applyFont="1" applyFill="1" applyBorder="1" applyAlignment="1">
      <alignment horizontal="right"/>
    </xf>
    <xf numFmtId="0" fontId="0" fillId="0" borderId="5" xfId="0" applyBorder="1"/>
    <xf numFmtId="164" fontId="0" fillId="0" borderId="5" xfId="0" applyNumberFormat="1" applyBorder="1"/>
    <xf numFmtId="0" fontId="3" fillId="0" borderId="7" xfId="0" applyFont="1" applyBorder="1"/>
    <xf numFmtId="0" fontId="4" fillId="0" borderId="1" xfId="0" applyFont="1" applyFill="1" applyBorder="1" applyAlignment="1">
      <alignment horizontal="right"/>
    </xf>
    <xf numFmtId="0" fontId="4" fillId="0" borderId="10" xfId="0" applyFont="1" applyFill="1" applyBorder="1" applyAlignment="1">
      <alignment horizontal="right"/>
    </xf>
    <xf numFmtId="164" fontId="0" fillId="0" borderId="6" xfId="0" applyNumberFormat="1" applyBorder="1"/>
    <xf numFmtId="164" fontId="5" fillId="3" borderId="1" xfId="1" applyNumberFormat="1" applyFont="1" applyFill="1" applyBorder="1"/>
    <xf numFmtId="44" fontId="5" fillId="3" borderId="1" xfId="2" applyFont="1" applyFill="1" applyBorder="1"/>
    <xf numFmtId="10" fontId="5" fillId="3" borderId="1" xfId="3" applyNumberFormat="1" applyFont="1" applyFill="1" applyBorder="1"/>
    <xf numFmtId="164" fontId="0" fillId="3" borderId="1" xfId="1" applyNumberFormat="1" applyFont="1" applyFill="1" applyBorder="1" applyAlignment="1">
      <alignment horizontal="right"/>
    </xf>
    <xf numFmtId="164" fontId="0" fillId="3" borderId="8" xfId="1" applyNumberFormat="1" applyFont="1" applyFill="1" applyBorder="1" applyAlignment="1">
      <alignment horizontal="right"/>
    </xf>
    <xf numFmtId="0" fontId="0" fillId="0" borderId="21" xfId="0" applyBorder="1"/>
    <xf numFmtId="0" fontId="0" fillId="0" borderId="22" xfId="0" applyBorder="1" applyAlignment="1">
      <alignment horizontal="right"/>
    </xf>
    <xf numFmtId="0" fontId="0" fillId="0" borderId="23" xfId="0" applyBorder="1" applyAlignment="1">
      <alignment horizontal="right"/>
    </xf>
    <xf numFmtId="0" fontId="0" fillId="3" borderId="23" xfId="0" applyFill="1" applyBorder="1" applyAlignment="1">
      <alignment horizontal="right"/>
    </xf>
    <xf numFmtId="0" fontId="0" fillId="3" borderId="24" xfId="0" applyFill="1" applyBorder="1" applyAlignment="1">
      <alignment horizontal="right"/>
    </xf>
    <xf numFmtId="0" fontId="11" fillId="0" borderId="8" xfId="0" applyFont="1" applyBorder="1" applyAlignment="1">
      <alignment horizontal="center"/>
    </xf>
    <xf numFmtId="0" fontId="11" fillId="0" borderId="1" xfId="0" applyFont="1" applyBorder="1" applyAlignment="1">
      <alignment horizontal="center"/>
    </xf>
    <xf numFmtId="0" fontId="0" fillId="0" borderId="0" xfId="0" applyFill="1" applyProtection="1"/>
    <xf numFmtId="0" fontId="12" fillId="0" borderId="27" xfId="0" applyFont="1" applyFill="1" applyBorder="1" applyProtection="1"/>
    <xf numFmtId="0" fontId="0" fillId="0" borderId="20" xfId="0" applyFill="1" applyBorder="1" applyProtection="1"/>
    <xf numFmtId="0" fontId="0" fillId="0" borderId="18" xfId="0" applyFill="1" applyBorder="1" applyProtection="1"/>
    <xf numFmtId="0" fontId="0" fillId="0" borderId="0" xfId="0" applyFill="1" applyBorder="1" applyProtection="1"/>
    <xf numFmtId="0" fontId="0" fillId="0" borderId="27" xfId="0" applyFill="1" applyBorder="1" applyProtection="1"/>
    <xf numFmtId="0" fontId="14" fillId="0" borderId="18" xfId="0" applyFont="1" applyFill="1" applyBorder="1" applyProtection="1"/>
    <xf numFmtId="0" fontId="17" fillId="0" borderId="2" xfId="0" applyFont="1" applyBorder="1" applyAlignment="1">
      <alignment horizontal="center"/>
    </xf>
    <xf numFmtId="3" fontId="18" fillId="0" borderId="3" xfId="0" applyNumberFormat="1" applyFont="1" applyBorder="1" applyAlignment="1">
      <alignment horizontal="center"/>
    </xf>
    <xf numFmtId="0" fontId="17" fillId="0" borderId="3" xfId="0" applyFont="1" applyBorder="1" applyAlignment="1">
      <alignment horizontal="center"/>
    </xf>
    <xf numFmtId="0" fontId="16" fillId="0" borderId="28" xfId="0" applyFont="1" applyFill="1" applyBorder="1" applyAlignment="1">
      <alignment horizontal="center"/>
    </xf>
    <xf numFmtId="2" fontId="22" fillId="5" borderId="28" xfId="0" applyNumberFormat="1" applyFont="1" applyFill="1" applyBorder="1" applyAlignment="1">
      <alignment horizontal="center"/>
    </xf>
    <xf numFmtId="0" fontId="0" fillId="0" borderId="1" xfId="0" applyFill="1" applyBorder="1" applyProtection="1"/>
    <xf numFmtId="0" fontId="0" fillId="0" borderId="1" xfId="0" applyFill="1" applyBorder="1" applyAlignment="1" applyProtection="1">
      <alignment horizontal="center"/>
    </xf>
    <xf numFmtId="0" fontId="0" fillId="4" borderId="1" xfId="0" applyFill="1" applyBorder="1" applyProtection="1"/>
    <xf numFmtId="0" fontId="0" fillId="4" borderId="1" xfId="0" applyFill="1" applyBorder="1" applyAlignment="1" applyProtection="1">
      <alignment horizontal="center"/>
    </xf>
    <xf numFmtId="0" fontId="13" fillId="0" borderId="1" xfId="0" applyFont="1" applyFill="1" applyBorder="1" applyProtection="1"/>
    <xf numFmtId="0" fontId="13" fillId="0" borderId="1" xfId="0" applyFont="1" applyFill="1" applyBorder="1" applyAlignment="1" applyProtection="1">
      <alignment horizontal="center"/>
    </xf>
    <xf numFmtId="0" fontId="14" fillId="0" borderId="1" xfId="0" applyFont="1" applyFill="1" applyBorder="1" applyProtection="1"/>
    <xf numFmtId="0" fontId="14" fillId="0" borderId="1" xfId="0" applyFont="1" applyFill="1" applyBorder="1" applyAlignment="1" applyProtection="1">
      <alignment horizontal="center"/>
    </xf>
    <xf numFmtId="9" fontId="14" fillId="0" borderId="1" xfId="3" applyFont="1" applyFill="1" applyBorder="1" applyAlignment="1" applyProtection="1">
      <alignment horizontal="center"/>
    </xf>
    <xf numFmtId="9" fontId="14" fillId="3" borderId="1" xfId="3" applyFont="1" applyFill="1" applyBorder="1" applyAlignment="1" applyProtection="1">
      <alignment horizontal="center"/>
    </xf>
    <xf numFmtId="9" fontId="0" fillId="3" borderId="1" xfId="3" applyFont="1" applyFill="1" applyBorder="1" applyAlignment="1" applyProtection="1">
      <alignment horizontal="center"/>
    </xf>
    <xf numFmtId="0" fontId="14" fillId="3" borderId="1" xfId="0" applyFont="1" applyFill="1" applyBorder="1" applyAlignment="1" applyProtection="1">
      <alignment horizontal="center"/>
    </xf>
    <xf numFmtId="166" fontId="0" fillId="3" borderId="1" xfId="0" applyNumberFormat="1" applyFill="1" applyBorder="1" applyAlignment="1" applyProtection="1">
      <alignment horizontal="center"/>
    </xf>
    <xf numFmtId="0" fontId="13" fillId="0" borderId="1" xfId="0" applyFont="1" applyFill="1" applyBorder="1" applyAlignment="1" applyProtection="1">
      <alignment horizontal="center" wrapText="1"/>
    </xf>
    <xf numFmtId="0" fontId="0" fillId="0" borderId="0" xfId="0" applyFill="1" applyAlignment="1" applyProtection="1">
      <alignment vertical="center" wrapText="1"/>
    </xf>
    <xf numFmtId="0" fontId="13" fillId="0" borderId="3" xfId="0" applyFont="1" applyFill="1" applyBorder="1" applyAlignment="1" applyProtection="1">
      <alignment horizontal="center" wrapText="1"/>
    </xf>
    <xf numFmtId="9" fontId="0" fillId="4" borderId="1" xfId="3" applyFont="1" applyFill="1" applyBorder="1" applyAlignment="1" applyProtection="1">
      <alignment horizontal="center"/>
    </xf>
    <xf numFmtId="0" fontId="13" fillId="0" borderId="2" xfId="0" applyFont="1" applyFill="1" applyBorder="1" applyAlignment="1" applyProtection="1">
      <alignment horizontal="center"/>
    </xf>
    <xf numFmtId="3" fontId="18" fillId="2" borderId="29" xfId="0" applyNumberFormat="1" applyFont="1" applyFill="1" applyBorder="1" applyAlignment="1">
      <alignment horizontal="center" vertical="center"/>
    </xf>
    <xf numFmtId="3" fontId="18" fillId="2" borderId="29" xfId="0" applyNumberFormat="1" applyFont="1" applyFill="1" applyBorder="1" applyAlignment="1">
      <alignment horizontal="center"/>
    </xf>
    <xf numFmtId="0" fontId="16" fillId="0" borderId="0" xfId="0" applyFont="1"/>
    <xf numFmtId="0" fontId="0" fillId="0" borderId="0" xfId="0" applyFill="1"/>
    <xf numFmtId="0" fontId="0" fillId="0" borderId="0" xfId="0" applyAlignment="1">
      <alignment vertical="center"/>
    </xf>
    <xf numFmtId="9" fontId="0" fillId="0" borderId="1" xfId="3" applyFont="1" applyBorder="1"/>
    <xf numFmtId="0" fontId="0" fillId="0" borderId="0" xfId="0" applyAlignment="1">
      <alignment vertical="center" wrapText="1"/>
    </xf>
    <xf numFmtId="0" fontId="0" fillId="3" borderId="0" xfId="0" applyFill="1"/>
    <xf numFmtId="0" fontId="0" fillId="0" borderId="28" xfId="0" applyBorder="1"/>
    <xf numFmtId="0" fontId="11" fillId="0" borderId="1" xfId="0" applyFont="1" applyBorder="1" applyAlignment="1">
      <alignment horizontal="center" vertical="top" wrapText="1"/>
    </xf>
    <xf numFmtId="10" fontId="0" fillId="3" borderId="1" xfId="3" applyNumberFormat="1" applyFont="1" applyFill="1" applyBorder="1"/>
    <xf numFmtId="0" fontId="10" fillId="0" borderId="28" xfId="0" applyFont="1" applyBorder="1" applyAlignment="1">
      <alignment horizontal="center" vertical="center" wrapText="1"/>
    </xf>
    <xf numFmtId="0" fontId="10" fillId="0" borderId="0" xfId="0" applyFont="1" applyAlignment="1">
      <alignment wrapText="1"/>
    </xf>
    <xf numFmtId="0" fontId="27" fillId="0" borderId="1" xfId="0" applyFont="1" applyBorder="1" applyAlignment="1">
      <alignment horizontal="center" vertical="center" wrapText="1"/>
    </xf>
    <xf numFmtId="9" fontId="0" fillId="3" borderId="23" xfId="3" applyFont="1" applyFill="1" applyBorder="1"/>
    <xf numFmtId="10" fontId="0" fillId="0" borderId="23" xfId="3" applyNumberFormat="1" applyFont="1" applyBorder="1"/>
    <xf numFmtId="0" fontId="11" fillId="0" borderId="32" xfId="0" applyFont="1" applyBorder="1"/>
    <xf numFmtId="0" fontId="0" fillId="0" borderId="31" xfId="0" applyBorder="1" applyAlignment="1">
      <alignment horizontal="right"/>
    </xf>
    <xf numFmtId="0" fontId="0" fillId="0" borderId="1" xfId="0" applyFont="1" applyBorder="1" applyAlignment="1">
      <alignment horizontal="center" vertical="center" wrapText="1"/>
    </xf>
    <xf numFmtId="0" fontId="0" fillId="0" borderId="1" xfId="0" applyFont="1" applyBorder="1" applyAlignment="1">
      <alignment horizontal="center" vertical="top" wrapText="1"/>
    </xf>
    <xf numFmtId="10" fontId="0" fillId="0" borderId="0" xfId="3" applyNumberFormat="1" applyFont="1" applyBorder="1"/>
    <xf numFmtId="4" fontId="0" fillId="0" borderId="1" xfId="1" applyNumberFormat="1" applyFont="1" applyFill="1" applyBorder="1" applyAlignment="1">
      <alignment horizontal="center" vertical="center"/>
    </xf>
    <xf numFmtId="3" fontId="0" fillId="6" borderId="1" xfId="1" applyNumberFormat="1" applyFont="1" applyFill="1" applyBorder="1" applyAlignment="1">
      <alignment horizontal="center" vertical="center"/>
    </xf>
    <xf numFmtId="164" fontId="0" fillId="0" borderId="1" xfId="1" applyNumberFormat="1" applyFont="1" applyFill="1" applyBorder="1" applyAlignment="1">
      <alignment horizontal="center"/>
    </xf>
    <xf numFmtId="3" fontId="0" fillId="0" borderId="1" xfId="0" applyNumberFormat="1" applyBorder="1"/>
    <xf numFmtId="6" fontId="0" fillId="3" borderId="1" xfId="1" applyNumberFormat="1" applyFont="1" applyFill="1" applyBorder="1"/>
    <xf numFmtId="10" fontId="0" fillId="3" borderId="1" xfId="0" applyNumberFormat="1" applyFill="1" applyBorder="1"/>
    <xf numFmtId="0" fontId="0" fillId="0" borderId="24" xfId="0" applyBorder="1" applyAlignment="1">
      <alignment horizontal="right"/>
    </xf>
    <xf numFmtId="0" fontId="0" fillId="0" borderId="17" xfId="0" applyBorder="1" applyAlignment="1">
      <alignment horizontal="right"/>
    </xf>
    <xf numFmtId="0" fontId="0" fillId="0" borderId="10" xfId="0" applyBorder="1" applyAlignment="1">
      <alignment horizontal="right"/>
    </xf>
    <xf numFmtId="0" fontId="0" fillId="3" borderId="10" xfId="0" applyFill="1" applyBorder="1" applyAlignment="1">
      <alignment horizontal="right"/>
    </xf>
    <xf numFmtId="0" fontId="0" fillId="3" borderId="11" xfId="0" applyFill="1" applyBorder="1" applyAlignment="1">
      <alignment horizontal="right"/>
    </xf>
    <xf numFmtId="0" fontId="3" fillId="0" borderId="21" xfId="0" applyFont="1" applyBorder="1"/>
    <xf numFmtId="0" fontId="0" fillId="0" borderId="22" xfId="0" applyBorder="1"/>
    <xf numFmtId="0" fontId="0" fillId="0" borderId="23" xfId="0" applyBorder="1"/>
    <xf numFmtId="0" fontId="0" fillId="0" borderId="24" xfId="0" applyBorder="1"/>
    <xf numFmtId="0" fontId="2" fillId="0" borderId="16" xfId="0" applyFont="1" applyBorder="1"/>
    <xf numFmtId="0" fontId="6" fillId="0" borderId="17" xfId="0" applyFont="1" applyBorder="1" applyAlignment="1">
      <alignment horizontal="right"/>
    </xf>
    <xf numFmtId="0" fontId="6" fillId="0" borderId="10" xfId="0" applyFont="1" applyBorder="1" applyAlignment="1">
      <alignment horizontal="right"/>
    </xf>
    <xf numFmtId="164" fontId="6" fillId="0" borderId="10" xfId="0" applyNumberFormat="1" applyFont="1" applyBorder="1" applyAlignment="1">
      <alignment horizontal="right"/>
    </xf>
    <xf numFmtId="164" fontId="6" fillId="0" borderId="11" xfId="0" applyNumberFormat="1" applyFont="1" applyBorder="1" applyAlignment="1">
      <alignment horizontal="right"/>
    </xf>
    <xf numFmtId="164" fontId="6" fillId="0" borderId="10" xfId="1" applyNumberFormat="1" applyFont="1" applyBorder="1" applyAlignment="1">
      <alignment horizontal="right"/>
    </xf>
    <xf numFmtId="164" fontId="6" fillId="0" borderId="11" xfId="1" applyNumberFormat="1" applyFont="1" applyBorder="1" applyAlignment="1">
      <alignment horizontal="right"/>
    </xf>
    <xf numFmtId="0" fontId="4" fillId="0" borderId="22" xfId="0" applyFont="1" applyBorder="1" applyAlignment="1">
      <alignment horizontal="right"/>
    </xf>
    <xf numFmtId="0" fontId="4" fillId="0" borderId="23" xfId="0" applyFont="1" applyBorder="1" applyAlignment="1">
      <alignment horizontal="right"/>
    </xf>
    <xf numFmtId="0" fontId="4" fillId="0" borderId="24" xfId="0" applyFont="1" applyBorder="1" applyAlignment="1">
      <alignment horizontal="right"/>
    </xf>
    <xf numFmtId="0" fontId="0" fillId="7" borderId="15" xfId="0" applyFill="1" applyBorder="1"/>
    <xf numFmtId="0" fontId="4" fillId="7" borderId="3" xfId="0" applyFont="1" applyFill="1" applyBorder="1" applyAlignment="1">
      <alignment horizontal="right"/>
    </xf>
    <xf numFmtId="0" fontId="4" fillId="7" borderId="1" xfId="0" applyFont="1" applyFill="1" applyBorder="1" applyAlignment="1">
      <alignment horizontal="right"/>
    </xf>
    <xf numFmtId="164" fontId="4" fillId="7" borderId="1" xfId="0" applyNumberFormat="1" applyFont="1" applyFill="1" applyBorder="1" applyAlignment="1">
      <alignment horizontal="right"/>
    </xf>
    <xf numFmtId="164" fontId="4" fillId="7" borderId="8" xfId="0" applyNumberFormat="1" applyFont="1" applyFill="1" applyBorder="1" applyAlignment="1">
      <alignment horizontal="right"/>
    </xf>
    <xf numFmtId="0" fontId="0" fillId="7" borderId="3" xfId="0" applyFill="1" applyBorder="1"/>
    <xf numFmtId="0" fontId="0" fillId="7" borderId="1" xfId="0" applyFill="1" applyBorder="1"/>
    <xf numFmtId="0" fontId="0" fillId="7" borderId="8" xfId="0" applyFill="1" applyBorder="1"/>
    <xf numFmtId="0" fontId="0" fillId="7" borderId="0" xfId="0" applyFill="1" applyBorder="1"/>
    <xf numFmtId="0" fontId="0" fillId="7" borderId="12" xfId="0" applyFill="1" applyBorder="1"/>
    <xf numFmtId="0" fontId="0" fillId="7" borderId="33" xfId="0" applyFill="1" applyBorder="1"/>
    <xf numFmtId="164" fontId="2" fillId="0" borderId="0" xfId="1" applyNumberFormat="1" applyFont="1" applyBorder="1"/>
    <xf numFmtId="164" fontId="0" fillId="0" borderId="1" xfId="0" applyNumberFormat="1" applyFill="1" applyBorder="1" applyAlignment="1">
      <alignment horizontal="right"/>
    </xf>
    <xf numFmtId="164" fontId="0" fillId="0" borderId="1" xfId="1" applyNumberFormat="1" applyFont="1" applyFill="1" applyBorder="1" applyAlignment="1">
      <alignment horizontal="right"/>
    </xf>
    <xf numFmtId="164" fontId="0" fillId="0" borderId="10" xfId="0" applyNumberFormat="1" applyFill="1" applyBorder="1" applyAlignment="1">
      <alignment horizontal="right"/>
    </xf>
    <xf numFmtId="0" fontId="0" fillId="0" borderId="1" xfId="0" applyFill="1" applyBorder="1"/>
    <xf numFmtId="164" fontId="0" fillId="0" borderId="1" xfId="1" applyNumberFormat="1" applyFont="1" applyFill="1" applyBorder="1"/>
    <xf numFmtId="164" fontId="5" fillId="0" borderId="1" xfId="1" applyNumberFormat="1" applyFont="1" applyFill="1" applyBorder="1"/>
    <xf numFmtId="164" fontId="0" fillId="0" borderId="1" xfId="0" applyNumberFormat="1" applyFill="1" applyBorder="1"/>
    <xf numFmtId="0" fontId="0" fillId="0" borderId="23" xfId="0" applyFill="1" applyBorder="1"/>
    <xf numFmtId="164" fontId="23" fillId="0" borderId="1" xfId="0" applyNumberFormat="1" applyFont="1" applyFill="1" applyBorder="1"/>
    <xf numFmtId="164" fontId="6" fillId="0" borderId="10" xfId="1" applyNumberFormat="1" applyFont="1" applyFill="1" applyBorder="1" applyAlignment="1">
      <alignment horizontal="right"/>
    </xf>
    <xf numFmtId="164" fontId="6"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43" fontId="0" fillId="0" borderId="1" xfId="0" applyNumberFormat="1" applyFill="1" applyBorder="1"/>
    <xf numFmtId="164" fontId="0" fillId="0" borderId="5" xfId="0" applyNumberFormat="1" applyFill="1" applyBorder="1"/>
    <xf numFmtId="3" fontId="0" fillId="3" borderId="1" xfId="0" applyNumberFormat="1" applyFill="1" applyBorder="1"/>
    <xf numFmtId="3" fontId="0" fillId="3" borderId="8" xfId="0" applyNumberFormat="1" applyFill="1" applyBorder="1"/>
    <xf numFmtId="0" fontId="0" fillId="0" borderId="1" xfId="0" applyBorder="1" applyAlignment="1">
      <alignment horizontal="center" wrapText="1"/>
    </xf>
    <xf numFmtId="0" fontId="0" fillId="0" borderId="0" xfId="0" applyBorder="1" applyAlignment="1">
      <alignment vertical="center" wrapText="1"/>
    </xf>
    <xf numFmtId="9" fontId="0" fillId="3" borderId="1" xfId="3" applyFont="1" applyFill="1" applyBorder="1"/>
    <xf numFmtId="9" fontId="5" fillId="0" borderId="1" xfId="3" applyFont="1" applyBorder="1"/>
    <xf numFmtId="43" fontId="0" fillId="0" borderId="0" xfId="0" applyNumberFormat="1" applyFill="1"/>
    <xf numFmtId="9" fontId="0" fillId="0" borderId="0" xfId="3" applyFont="1" applyFill="1"/>
    <xf numFmtId="164" fontId="0" fillId="0" borderId="0" xfId="0" applyNumberFormat="1" applyFill="1"/>
    <xf numFmtId="9" fontId="0" fillId="0" borderId="0" xfId="0" applyNumberFormat="1" applyFill="1"/>
    <xf numFmtId="0" fontId="0" fillId="0" borderId="0" xfId="0" applyFill="1" applyBorder="1"/>
    <xf numFmtId="0" fontId="33" fillId="0" borderId="1" xfId="0" applyFont="1" applyBorder="1" applyAlignment="1">
      <alignment horizontal="left" vertical="center" wrapText="1"/>
    </xf>
    <xf numFmtId="0" fontId="33" fillId="0" borderId="1" xfId="0" applyFont="1" applyFill="1" applyBorder="1"/>
    <xf numFmtId="9" fontId="0" fillId="0" borderId="1" xfId="3" applyFont="1" applyFill="1" applyBorder="1"/>
    <xf numFmtId="10" fontId="0" fillId="0" borderId="1" xfId="3" applyNumberFormat="1" applyFont="1" applyFill="1" applyBorder="1"/>
    <xf numFmtId="0" fontId="0" fillId="0" borderId="28" xfId="0" applyFill="1" applyBorder="1"/>
    <xf numFmtId="164" fontId="0" fillId="0" borderId="34" xfId="1" applyNumberFormat="1" applyFont="1" applyBorder="1"/>
    <xf numFmtId="164" fontId="4" fillId="0" borderId="0" xfId="0" applyNumberFormat="1" applyFont="1" applyFill="1" applyBorder="1" applyAlignment="1">
      <alignment horizontal="right"/>
    </xf>
    <xf numFmtId="164" fontId="0" fillId="0" borderId="0" xfId="0" applyNumberFormat="1" applyFill="1" applyBorder="1"/>
    <xf numFmtId="43" fontId="0" fillId="0" borderId="0" xfId="0" applyNumberFormat="1" applyFill="1" applyBorder="1"/>
    <xf numFmtId="0" fontId="0" fillId="0" borderId="0" xfId="0" applyFill="1" applyBorder="1" applyAlignment="1">
      <alignment horizontal="right" vertical="center"/>
    </xf>
    <xf numFmtId="0" fontId="0" fillId="0" borderId="0" xfId="0" applyFill="1" applyAlignment="1">
      <alignment vertical="center"/>
    </xf>
    <xf numFmtId="0" fontId="26" fillId="0" borderId="0" xfId="0" applyFont="1" applyBorder="1" applyAlignment="1"/>
    <xf numFmtId="0" fontId="0" fillId="0" borderId="0" xfId="0" applyBorder="1" applyAlignment="1">
      <alignment wrapText="1"/>
    </xf>
    <xf numFmtId="0" fontId="0" fillId="0" borderId="1" xfId="0" applyBorder="1" applyAlignment="1">
      <alignment vertical="center"/>
    </xf>
    <xf numFmtId="9" fontId="0" fillId="0" borderId="1" xfId="3" applyFont="1" applyFill="1" applyBorder="1" applyAlignment="1">
      <alignment horizontal="right"/>
    </xf>
    <xf numFmtId="165" fontId="0" fillId="0" borderId="1" xfId="3" applyNumberFormat="1" applyFont="1" applyFill="1" applyBorder="1" applyAlignment="1">
      <alignment horizontal="right"/>
    </xf>
    <xf numFmtId="0" fontId="0" fillId="0" borderId="0" xfId="0" applyAlignment="1">
      <alignment wrapText="1"/>
    </xf>
    <xf numFmtId="0" fontId="0" fillId="0" borderId="0" xfId="0" applyAlignment="1">
      <alignment horizontal="center"/>
    </xf>
    <xf numFmtId="38" fontId="0" fillId="0" borderId="1" xfId="1" applyNumberFormat="1" applyFont="1" applyBorder="1" applyAlignment="1">
      <alignment horizontal="center"/>
    </xf>
    <xf numFmtId="40" fontId="0" fillId="0" borderId="1" xfId="1" applyNumberFormat="1" applyFont="1" applyBorder="1" applyAlignment="1">
      <alignment horizontal="center"/>
    </xf>
    <xf numFmtId="9" fontId="0" fillId="0" borderId="1" xfId="3" applyFont="1" applyFill="1" applyBorder="1" applyAlignment="1">
      <alignment horizontal="center"/>
    </xf>
    <xf numFmtId="9" fontId="0" fillId="2" borderId="1" xfId="3" applyFont="1" applyFill="1" applyBorder="1" applyAlignment="1">
      <alignment horizontal="center"/>
    </xf>
    <xf numFmtId="43" fontId="0" fillId="2" borderId="1" xfId="1" applyFont="1" applyFill="1" applyBorder="1" applyAlignment="1">
      <alignment horizontal="center"/>
    </xf>
    <xf numFmtId="164" fontId="0" fillId="2" borderId="1" xfId="1" applyNumberFormat="1" applyFont="1" applyFill="1" applyBorder="1" applyAlignment="1">
      <alignment horizontal="center"/>
    </xf>
    <xf numFmtId="43" fontId="0" fillId="0" borderId="1" xfId="1" applyFont="1" applyFill="1" applyBorder="1" applyAlignment="1">
      <alignment horizontal="center"/>
    </xf>
    <xf numFmtId="43" fontId="0" fillId="0" borderId="1" xfId="1" applyNumberFormat="1" applyFont="1" applyFill="1" applyBorder="1" applyAlignment="1">
      <alignment horizontal="center"/>
    </xf>
    <xf numFmtId="43" fontId="0" fillId="0" borderId="0" xfId="1" applyNumberFormat="1" applyFont="1" applyAlignment="1">
      <alignment horizontal="center"/>
    </xf>
    <xf numFmtId="38" fontId="0" fillId="9" borderId="1" xfId="1" applyNumberFormat="1" applyFont="1" applyFill="1" applyBorder="1" applyAlignment="1">
      <alignment horizontal="center"/>
    </xf>
    <xf numFmtId="40" fontId="0" fillId="9" borderId="1" xfId="1" applyNumberFormat="1" applyFont="1" applyFill="1" applyBorder="1" applyAlignment="1">
      <alignment horizontal="center"/>
    </xf>
    <xf numFmtId="0" fontId="26" fillId="0" borderId="14" xfId="0" applyFont="1" applyBorder="1" applyAlignment="1">
      <alignment horizontal="right"/>
    </xf>
    <xf numFmtId="0" fontId="26" fillId="0" borderId="5" xfId="0" applyFont="1" applyBorder="1"/>
    <xf numFmtId="164" fontId="26" fillId="3" borderId="5" xfId="1" applyNumberFormat="1" applyFont="1" applyFill="1" applyBorder="1"/>
    <xf numFmtId="164" fontId="26" fillId="3" borderId="6" xfId="1" applyNumberFormat="1" applyFont="1" applyFill="1" applyBorder="1"/>
    <xf numFmtId="0" fontId="31" fillId="9" borderId="1" xfId="0" applyFont="1" applyFill="1" applyBorder="1" applyAlignment="1">
      <alignment horizontal="center" vertical="center"/>
    </xf>
    <xf numFmtId="3" fontId="0" fillId="9" borderId="1" xfId="0" applyNumberFormat="1" applyFill="1" applyBorder="1" applyAlignment="1">
      <alignment horizontal="center"/>
    </xf>
    <xf numFmtId="0" fontId="0" fillId="9" borderId="3" xfId="0" applyFill="1" applyBorder="1"/>
    <xf numFmtId="164" fontId="0" fillId="9" borderId="1" xfId="0" applyNumberFormat="1" applyFill="1" applyBorder="1" applyAlignment="1">
      <alignment horizontal="center" vertical="center"/>
    </xf>
    <xf numFmtId="164" fontId="0" fillId="9" borderId="8" xfId="0" applyNumberFormat="1" applyFill="1" applyBorder="1" applyAlignment="1">
      <alignment horizontal="center" vertical="center"/>
    </xf>
    <xf numFmtId="3" fontId="23" fillId="9" borderId="1" xfId="0" applyNumberFormat="1" applyFont="1" applyFill="1" applyBorder="1"/>
    <xf numFmtId="3" fontId="23" fillId="9" borderId="8" xfId="0" applyNumberFormat="1" applyFont="1" applyFill="1" applyBorder="1"/>
    <xf numFmtId="164" fontId="0" fillId="0" borderId="18" xfId="0" applyNumberFormat="1" applyFill="1" applyBorder="1"/>
    <xf numFmtId="164" fontId="0" fillId="0" borderId="12" xfId="0" applyNumberFormat="1" applyFill="1" applyBorder="1"/>
    <xf numFmtId="0" fontId="0" fillId="9" borderId="0" xfId="0" applyFill="1"/>
    <xf numFmtId="0" fontId="4" fillId="9" borderId="0" xfId="0" applyFont="1" applyFill="1"/>
    <xf numFmtId="0" fontId="36" fillId="9" borderId="3" xfId="0" applyFont="1" applyFill="1" applyBorder="1" applyAlignment="1">
      <alignment horizontal="right"/>
    </xf>
    <xf numFmtId="0" fontId="24" fillId="0" borderId="0" xfId="0" applyFont="1" applyAlignment="1">
      <alignment horizontal="center" vertical="center"/>
    </xf>
    <xf numFmtId="0" fontId="0" fillId="0" borderId="0" xfId="0" applyFont="1" applyFill="1" applyAlignment="1">
      <alignment vertical="center" wrapText="1"/>
    </xf>
    <xf numFmtId="0" fontId="26" fillId="0" borderId="0" xfId="0" applyFont="1" applyAlignment="1">
      <alignment horizontal="center"/>
    </xf>
    <xf numFmtId="0" fontId="27" fillId="0" borderId="0" xfId="0" applyFont="1" applyFill="1" applyAlignment="1">
      <alignment vertical="center" wrapText="1"/>
    </xf>
    <xf numFmtId="0" fontId="26" fillId="0" borderId="35" xfId="0" applyFont="1" applyBorder="1" applyAlignment="1">
      <alignment vertical="center" wrapText="1"/>
    </xf>
    <xf numFmtId="0" fontId="26" fillId="0" borderId="35" xfId="0" applyFont="1" applyBorder="1" applyAlignment="1">
      <alignment vertical="center"/>
    </xf>
    <xf numFmtId="164" fontId="0" fillId="0" borderId="0" xfId="1" applyNumberFormat="1" applyFont="1" applyFill="1" applyBorder="1"/>
    <xf numFmtId="0" fontId="2" fillId="0" borderId="0" xfId="0" applyFont="1" applyBorder="1" applyAlignment="1">
      <alignment horizontal="center" vertical="center" wrapText="1"/>
    </xf>
    <xf numFmtId="164" fontId="26" fillId="0" borderId="0" xfId="1" applyNumberFormat="1" applyFont="1" applyFill="1" applyBorder="1"/>
    <xf numFmtId="165" fontId="0" fillId="0" borderId="0" xfId="3" applyNumberFormat="1" applyFont="1" applyFill="1" applyBorder="1" applyAlignment="1">
      <alignment horizontal="right"/>
    </xf>
    <xf numFmtId="164" fontId="0" fillId="0" borderId="0" xfId="1" applyNumberFormat="1" applyFont="1" applyFill="1" applyBorder="1" applyAlignment="1">
      <alignment horizontal="right"/>
    </xf>
    <xf numFmtId="164" fontId="26" fillId="0" borderId="5" xfId="1" applyNumberFormat="1" applyFont="1" applyFill="1" applyBorder="1"/>
    <xf numFmtId="164" fontId="11" fillId="0" borderId="1" xfId="0" applyNumberFormat="1" applyFont="1" applyBorder="1" applyAlignment="1">
      <alignment horizontal="center"/>
    </xf>
    <xf numFmtId="164" fontId="0" fillId="0" borderId="10" xfId="0" applyNumberFormat="1" applyBorder="1"/>
    <xf numFmtId="43" fontId="0" fillId="0" borderId="1" xfId="0" applyNumberFormat="1" applyFill="1" applyBorder="1" applyAlignment="1">
      <alignment horizontal="right"/>
    </xf>
    <xf numFmtId="0" fontId="4" fillId="0" borderId="0" xfId="0" applyFont="1" applyFill="1"/>
    <xf numFmtId="0" fontId="36" fillId="0" borderId="3" xfId="0" applyFont="1" applyFill="1" applyBorder="1" applyAlignment="1">
      <alignment horizontal="right"/>
    </xf>
    <xf numFmtId="164" fontId="6" fillId="0" borderId="0" xfId="1" applyNumberFormat="1" applyFont="1" applyFill="1" applyBorder="1" applyAlignment="1">
      <alignment horizontal="right"/>
    </xf>
    <xf numFmtId="164" fontId="26" fillId="0" borderId="36" xfId="1" applyNumberFormat="1" applyFont="1" applyFill="1" applyBorder="1"/>
    <xf numFmtId="164" fontId="0" fillId="0" borderId="27" xfId="0" applyNumberFormat="1" applyFill="1" applyBorder="1" applyAlignment="1">
      <alignment horizontal="right"/>
    </xf>
    <xf numFmtId="43" fontId="0" fillId="0" borderId="2" xfId="0" applyNumberFormat="1" applyFill="1" applyBorder="1" applyAlignment="1">
      <alignment horizontal="right"/>
    </xf>
    <xf numFmtId="164" fontId="0" fillId="0" borderId="2" xfId="0" applyNumberFormat="1" applyFill="1" applyBorder="1" applyAlignment="1">
      <alignment horizontal="right"/>
    </xf>
    <xf numFmtId="165" fontId="0" fillId="0" borderId="2" xfId="3" applyNumberFormat="1" applyFont="1" applyFill="1" applyBorder="1" applyAlignment="1">
      <alignment horizontal="right"/>
    </xf>
    <xf numFmtId="9" fontId="0" fillId="0" borderId="2" xfId="3" applyFont="1" applyFill="1" applyBorder="1" applyAlignment="1">
      <alignment horizontal="right"/>
    </xf>
    <xf numFmtId="164" fontId="0" fillId="0" borderId="2" xfId="1" applyNumberFormat="1" applyFont="1" applyFill="1" applyBorder="1" applyAlignment="1">
      <alignment horizontal="right"/>
    </xf>
    <xf numFmtId="164" fontId="0" fillId="0" borderId="19" xfId="0" applyNumberFormat="1" applyFill="1" applyBorder="1" applyAlignment="1">
      <alignment horizontal="right"/>
    </xf>
    <xf numFmtId="164" fontId="0" fillId="0" borderId="27" xfId="0" applyNumberFormat="1" applyBorder="1" applyAlignment="1">
      <alignment horizontal="right"/>
    </xf>
    <xf numFmtId="164" fontId="11" fillId="0" borderId="2" xfId="0" applyNumberFormat="1" applyFont="1" applyBorder="1" applyAlignment="1">
      <alignment horizontal="center"/>
    </xf>
    <xf numFmtId="164" fontId="0" fillId="0" borderId="2" xfId="1" applyNumberFormat="1" applyFont="1" applyBorder="1"/>
    <xf numFmtId="164" fontId="0" fillId="0" borderId="2" xfId="0" applyNumberFormat="1" applyFill="1" applyBorder="1"/>
    <xf numFmtId="164" fontId="6" fillId="0" borderId="19" xfId="0" applyNumberFormat="1" applyFont="1" applyFill="1" applyBorder="1" applyAlignment="1">
      <alignment horizontal="right"/>
    </xf>
    <xf numFmtId="164" fontId="0" fillId="0" borderId="27" xfId="0" applyNumberFormat="1" applyFill="1" applyBorder="1"/>
    <xf numFmtId="164" fontId="23" fillId="0" borderId="2" xfId="0" applyNumberFormat="1" applyFont="1" applyFill="1" applyBorder="1"/>
    <xf numFmtId="164" fontId="0" fillId="0" borderId="2" xfId="1" applyNumberFormat="1" applyFont="1" applyFill="1" applyBorder="1"/>
    <xf numFmtId="164" fontId="6" fillId="0" borderId="19" xfId="1" applyNumberFormat="1" applyFont="1" applyFill="1" applyBorder="1" applyAlignment="1">
      <alignment horizontal="right"/>
    </xf>
    <xf numFmtId="164" fontId="4" fillId="0" borderId="27" xfId="0" applyNumberFormat="1" applyFont="1" applyFill="1" applyBorder="1" applyAlignment="1">
      <alignment horizontal="right"/>
    </xf>
    <xf numFmtId="164" fontId="6" fillId="0" borderId="2" xfId="0" applyNumberFormat="1" applyFont="1" applyFill="1" applyBorder="1" applyAlignment="1">
      <alignment horizontal="right"/>
    </xf>
    <xf numFmtId="164" fontId="4" fillId="0" borderId="2" xfId="0" applyNumberFormat="1" applyFont="1" applyFill="1" applyBorder="1" applyAlignment="1">
      <alignment horizontal="right"/>
    </xf>
    <xf numFmtId="43" fontId="4" fillId="0" borderId="2" xfId="0" applyNumberFormat="1" applyFont="1" applyFill="1" applyBorder="1" applyAlignment="1">
      <alignment horizontal="right"/>
    </xf>
    <xf numFmtId="43" fontId="0" fillId="0" borderId="2" xfId="0" applyNumberFormat="1" applyFill="1" applyBorder="1"/>
    <xf numFmtId="164" fontId="0" fillId="0" borderId="36" xfId="0" applyNumberFormat="1" applyFill="1" applyBorder="1"/>
    <xf numFmtId="43" fontId="0" fillId="0" borderId="19" xfId="0" applyNumberFormat="1" applyFill="1" applyBorder="1"/>
    <xf numFmtId="3" fontId="23" fillId="0" borderId="1" xfId="0" applyNumberFormat="1" applyFont="1" applyFill="1" applyBorder="1"/>
    <xf numFmtId="164" fontId="0" fillId="0" borderId="0" xfId="0" applyNumberFormat="1" applyFill="1" applyBorder="1" applyAlignment="1">
      <alignment horizontal="right"/>
    </xf>
    <xf numFmtId="164" fontId="23" fillId="0" borderId="0" xfId="0" applyNumberFormat="1" applyFont="1" applyFill="1" applyBorder="1"/>
    <xf numFmtId="9" fontId="0" fillId="0" borderId="0" xfId="3" applyFont="1" applyFill="1" applyBorder="1" applyAlignment="1">
      <alignment horizontal="right"/>
    </xf>
    <xf numFmtId="168" fontId="4" fillId="0" borderId="1" xfId="0" applyNumberFormat="1" applyFont="1" applyBorder="1" applyAlignment="1">
      <alignment horizontal="right"/>
    </xf>
    <xf numFmtId="168" fontId="0" fillId="0" borderId="1" xfId="0" applyNumberFormat="1" applyBorder="1"/>
    <xf numFmtId="168" fontId="0" fillId="9" borderId="1" xfId="0" applyNumberFormat="1" applyFill="1" applyBorder="1" applyAlignment="1">
      <alignment horizontal="center" vertical="center"/>
    </xf>
    <xf numFmtId="43" fontId="0" fillId="9" borderId="1" xfId="0" applyNumberFormat="1" applyFill="1" applyBorder="1" applyAlignment="1">
      <alignment horizontal="center" vertical="center"/>
    </xf>
    <xf numFmtId="0" fontId="3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5" xfId="0" applyBorder="1" applyAlignment="1">
      <alignment horizontal="right"/>
    </xf>
    <xf numFmtId="164" fontId="0" fillId="0" borderId="5" xfId="0" applyNumberFormat="1" applyBorder="1" applyAlignment="1">
      <alignment horizontal="right"/>
    </xf>
    <xf numFmtId="0" fontId="4" fillId="0" borderId="5" xfId="0" applyFont="1" applyBorder="1" applyAlignment="1">
      <alignment horizontal="right"/>
    </xf>
    <xf numFmtId="164" fontId="0" fillId="9" borderId="2" xfId="0" applyNumberFormat="1" applyFill="1" applyBorder="1" applyAlignment="1">
      <alignment horizontal="center" vertical="center"/>
    </xf>
    <xf numFmtId="164" fontId="4" fillId="0" borderId="5" xfId="0" applyNumberFormat="1" applyFont="1" applyFill="1" applyBorder="1" applyAlignment="1">
      <alignment horizontal="right"/>
    </xf>
    <xf numFmtId="168" fontId="4" fillId="0" borderId="1" xfId="0" applyNumberFormat="1" applyFont="1" applyFill="1" applyBorder="1" applyAlignment="1">
      <alignment horizontal="right"/>
    </xf>
    <xf numFmtId="168" fontId="0" fillId="0" borderId="5" xfId="0" applyNumberFormat="1" applyBorder="1"/>
    <xf numFmtId="43" fontId="0" fillId="0" borderId="5" xfId="0" applyNumberFormat="1" applyBorder="1"/>
    <xf numFmtId="0" fontId="0" fillId="7" borderId="37" xfId="0" applyFill="1" applyBorder="1"/>
    <xf numFmtId="168" fontId="0" fillId="7" borderId="37" xfId="0" applyNumberFormat="1" applyFill="1" applyBorder="1"/>
    <xf numFmtId="43" fontId="0" fillId="7" borderId="17" xfId="0" applyNumberFormat="1" applyFill="1" applyBorder="1"/>
    <xf numFmtId="0" fontId="0" fillId="7" borderId="29" xfId="0" applyFill="1" applyBorder="1"/>
    <xf numFmtId="168" fontId="0" fillId="7" borderId="29" xfId="0" applyNumberFormat="1" applyFill="1" applyBorder="1"/>
    <xf numFmtId="43" fontId="0" fillId="7" borderId="3" xfId="0" applyNumberFormat="1" applyFill="1" applyBorder="1"/>
    <xf numFmtId="0" fontId="4" fillId="7" borderId="29" xfId="0" applyFont="1" applyFill="1" applyBorder="1" applyAlignment="1">
      <alignment horizontal="right"/>
    </xf>
    <xf numFmtId="164" fontId="4" fillId="7" borderId="29" xfId="0" applyNumberFormat="1" applyFont="1" applyFill="1" applyBorder="1" applyAlignment="1">
      <alignment horizontal="right"/>
    </xf>
    <xf numFmtId="164" fontId="4" fillId="7" borderId="3" xfId="0" applyNumberFormat="1" applyFont="1" applyFill="1" applyBorder="1" applyAlignment="1">
      <alignment horizontal="right"/>
    </xf>
    <xf numFmtId="43" fontId="0" fillId="3" borderId="2" xfId="0" applyNumberFormat="1" applyFill="1" applyBorder="1" applyAlignment="1">
      <alignment horizontal="right"/>
    </xf>
    <xf numFmtId="9" fontId="0" fillId="0" borderId="2" xfId="3" applyNumberFormat="1" applyFont="1" applyFill="1" applyBorder="1" applyAlignment="1">
      <alignment horizontal="right"/>
    </xf>
    <xf numFmtId="0" fontId="11" fillId="0" borderId="2" xfId="0" applyFont="1" applyBorder="1" applyAlignment="1">
      <alignment horizontal="center"/>
    </xf>
    <xf numFmtId="164" fontId="0" fillId="0" borderId="2" xfId="0" applyNumberFormat="1" applyBorder="1"/>
    <xf numFmtId="164" fontId="6" fillId="0" borderId="19" xfId="0" applyNumberFormat="1" applyFont="1" applyBorder="1" applyAlignment="1">
      <alignment horizontal="right"/>
    </xf>
    <xf numFmtId="3" fontId="23" fillId="0" borderId="2" xfId="0" applyNumberFormat="1" applyFont="1" applyFill="1" applyBorder="1"/>
    <xf numFmtId="164" fontId="6" fillId="0" borderId="19" xfId="1" applyNumberFormat="1" applyFont="1" applyBorder="1" applyAlignment="1">
      <alignment horizontal="right"/>
    </xf>
    <xf numFmtId="164" fontId="6" fillId="0" borderId="2" xfId="0" applyNumberFormat="1" applyFont="1" applyBorder="1" applyAlignment="1">
      <alignment horizontal="right"/>
    </xf>
    <xf numFmtId="164" fontId="4" fillId="0" borderId="2" xfId="0" applyNumberFormat="1" applyFont="1" applyBorder="1" applyAlignment="1">
      <alignment horizontal="right"/>
    </xf>
    <xf numFmtId="43" fontId="4" fillId="0" borderId="2" xfId="0" applyNumberFormat="1" applyFont="1" applyBorder="1" applyAlignment="1">
      <alignment horizontal="right"/>
    </xf>
    <xf numFmtId="164" fontId="4" fillId="7" borderId="2" xfId="0" applyNumberFormat="1" applyFont="1" applyFill="1" applyBorder="1" applyAlignment="1">
      <alignment horizontal="right"/>
    </xf>
    <xf numFmtId="0" fontId="0" fillId="7" borderId="2" xfId="0" applyFill="1" applyBorder="1"/>
    <xf numFmtId="43" fontId="0" fillId="0" borderId="2" xfId="0" applyNumberFormat="1" applyBorder="1"/>
    <xf numFmtId="164" fontId="0" fillId="0" borderId="36" xfId="0" applyNumberFormat="1" applyBorder="1"/>
    <xf numFmtId="43" fontId="0" fillId="0" borderId="19" xfId="0" applyNumberFormat="1" applyBorder="1"/>
    <xf numFmtId="165" fontId="0" fillId="0" borderId="1" xfId="3" applyNumberFormat="1" applyFont="1" applyBorder="1"/>
    <xf numFmtId="9" fontId="0" fillId="0" borderId="1" xfId="3" applyNumberFormat="1" applyFont="1" applyBorder="1"/>
    <xf numFmtId="0" fontId="26" fillId="0" borderId="0" xfId="0" applyFont="1" applyBorder="1" applyAlignment="1">
      <alignment horizontal="center"/>
    </xf>
    <xf numFmtId="164" fontId="26" fillId="0" borderId="18" xfId="1" applyNumberFormat="1" applyFont="1" applyFill="1" applyBorder="1"/>
    <xf numFmtId="164" fontId="0" fillId="0" borderId="18" xfId="0" applyNumberFormat="1" applyFill="1" applyBorder="1" applyAlignment="1">
      <alignment horizontal="right"/>
    </xf>
    <xf numFmtId="43" fontId="0" fillId="0" borderId="18" xfId="0" applyNumberFormat="1" applyFill="1" applyBorder="1" applyAlignment="1">
      <alignment horizontal="right"/>
    </xf>
    <xf numFmtId="165" fontId="0" fillId="0" borderId="18" xfId="3" applyNumberFormat="1" applyFont="1" applyFill="1" applyBorder="1" applyAlignment="1">
      <alignment horizontal="right"/>
    </xf>
    <xf numFmtId="9" fontId="0" fillId="0" borderId="18" xfId="3" applyFont="1" applyFill="1" applyBorder="1" applyAlignment="1">
      <alignment horizontal="right"/>
    </xf>
    <xf numFmtId="164" fontId="0" fillId="0" borderId="18" xfId="1" applyNumberFormat="1" applyFont="1" applyFill="1" applyBorder="1" applyAlignment="1">
      <alignment horizontal="right"/>
    </xf>
    <xf numFmtId="164" fontId="23" fillId="0" borderId="18" xfId="0" applyNumberFormat="1" applyFont="1" applyFill="1" applyBorder="1"/>
    <xf numFmtId="164" fontId="0" fillId="0" borderId="18" xfId="1" applyNumberFormat="1" applyFont="1" applyFill="1" applyBorder="1"/>
    <xf numFmtId="164" fontId="6" fillId="0" borderId="18" xfId="1" applyNumberFormat="1" applyFont="1" applyFill="1" applyBorder="1" applyAlignment="1">
      <alignment horizontal="right"/>
    </xf>
    <xf numFmtId="164" fontId="4" fillId="0" borderId="18" xfId="0" applyNumberFormat="1" applyFont="1" applyFill="1" applyBorder="1" applyAlignment="1">
      <alignment horizontal="right"/>
    </xf>
    <xf numFmtId="164" fontId="6" fillId="0" borderId="18" xfId="0" applyNumberFormat="1" applyFont="1" applyFill="1" applyBorder="1" applyAlignment="1">
      <alignment horizontal="right"/>
    </xf>
    <xf numFmtId="168" fontId="4" fillId="0" borderId="18" xfId="0" applyNumberFormat="1" applyFont="1" applyFill="1" applyBorder="1" applyAlignment="1">
      <alignment horizontal="right"/>
    </xf>
    <xf numFmtId="43" fontId="0" fillId="0" borderId="18" xfId="0" applyNumberFormat="1" applyFill="1" applyBorder="1"/>
    <xf numFmtId="0" fontId="2" fillId="0" borderId="1" xfId="0" applyFont="1" applyBorder="1" applyAlignment="1">
      <alignment horizontal="right" vertical="center" wrapText="1"/>
    </xf>
    <xf numFmtId="164" fontId="6"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4" fontId="11" fillId="0" borderId="18" xfId="0" applyNumberFormat="1" applyFont="1" applyFill="1" applyBorder="1" applyAlignment="1">
      <alignment horizontal="center"/>
    </xf>
    <xf numFmtId="164" fontId="11" fillId="0" borderId="0" xfId="0" applyNumberFormat="1" applyFont="1" applyFill="1" applyBorder="1" applyAlignment="1">
      <alignment horizontal="center"/>
    </xf>
    <xf numFmtId="43" fontId="0" fillId="0" borderId="18" xfId="0" applyNumberFormat="1" applyFill="1" applyBorder="1" applyAlignment="1">
      <alignment horizontal="center" vertical="center"/>
    </xf>
    <xf numFmtId="43" fontId="0" fillId="0" borderId="0" xfId="0" applyNumberFormat="1" applyFill="1" applyBorder="1" applyAlignment="1">
      <alignment horizontal="center" vertical="center"/>
    </xf>
    <xf numFmtId="165" fontId="26" fillId="3" borderId="10" xfId="3" applyNumberFormat="1" applyFont="1" applyFill="1" applyBorder="1" applyAlignment="1">
      <alignment horizontal="center" vertical="center"/>
    </xf>
    <xf numFmtId="43" fontId="0" fillId="9" borderId="1" xfId="0" applyNumberFormat="1" applyFill="1" applyBorder="1"/>
    <xf numFmtId="0" fontId="34" fillId="0" borderId="35" xfId="0" applyFont="1" applyBorder="1" applyAlignment="1">
      <alignment horizontal="center" vertical="center" wrapText="1"/>
    </xf>
    <xf numFmtId="0" fontId="0" fillId="0" borderId="36" xfId="0" applyBorder="1"/>
    <xf numFmtId="0" fontId="4" fillId="0" borderId="36" xfId="0" applyFont="1" applyBorder="1" applyAlignment="1">
      <alignment horizontal="right"/>
    </xf>
    <xf numFmtId="0" fontId="0" fillId="0" borderId="38" xfId="0" applyBorder="1"/>
    <xf numFmtId="0" fontId="0" fillId="0" borderId="36" xfId="0" applyBorder="1" applyAlignment="1">
      <alignment horizontal="right"/>
    </xf>
    <xf numFmtId="0" fontId="0" fillId="0" borderId="1" xfId="0" applyBorder="1" applyAlignment="1">
      <alignment wrapText="1"/>
    </xf>
    <xf numFmtId="164" fontId="0" fillId="3" borderId="10" xfId="1" applyNumberFormat="1" applyFont="1" applyFill="1" applyBorder="1"/>
    <xf numFmtId="9" fontId="0" fillId="3" borderId="10" xfId="3" applyFont="1" applyFill="1" applyBorder="1"/>
    <xf numFmtId="10" fontId="0" fillId="3" borderId="10" xfId="3" applyNumberFormat="1" applyFont="1" applyFill="1" applyBorder="1"/>
    <xf numFmtId="0" fontId="0" fillId="3" borderId="10" xfId="0" applyFill="1" applyBorder="1"/>
    <xf numFmtId="164" fontId="0" fillId="0" borderId="10" xfId="1" applyNumberFormat="1" applyFont="1" applyBorder="1"/>
    <xf numFmtId="0" fontId="0" fillId="0" borderId="39" xfId="0" applyBorder="1"/>
    <xf numFmtId="164" fontId="0" fillId="0" borderId="5" xfId="1" applyNumberFormat="1" applyFont="1" applyBorder="1"/>
    <xf numFmtId="10" fontId="0" fillId="0" borderId="5" xfId="3" applyNumberFormat="1" applyFont="1" applyBorder="1"/>
    <xf numFmtId="0" fontId="26" fillId="0" borderId="5" xfId="0" applyFont="1" applyBorder="1" applyAlignment="1">
      <alignment horizontal="right"/>
    </xf>
    <xf numFmtId="164" fontId="0" fillId="0" borderId="40" xfId="1" applyNumberFormat="1" applyFont="1" applyBorder="1"/>
    <xf numFmtId="3" fontId="0" fillId="6" borderId="1" xfId="1" applyNumberFormat="1" applyFont="1" applyFill="1" applyBorder="1" applyAlignment="1">
      <alignment horizontal="center" vertical="center" wrapText="1"/>
    </xf>
    <xf numFmtId="0" fontId="0" fillId="9" borderId="0" xfId="0" applyFill="1" applyBorder="1"/>
    <xf numFmtId="0" fontId="16" fillId="0" borderId="1" xfId="0" applyFont="1" applyFill="1" applyBorder="1" applyAlignment="1">
      <alignment horizontal="center"/>
    </xf>
    <xf numFmtId="0" fontId="16" fillId="0" borderId="1" xfId="0" applyFont="1" applyBorder="1" applyAlignment="1">
      <alignment horizontal="center"/>
    </xf>
    <xf numFmtId="167" fontId="0" fillId="3" borderId="1" xfId="0" applyNumberFormat="1" applyFill="1" applyBorder="1" applyAlignment="1">
      <alignment horizontal="center"/>
    </xf>
    <xf numFmtId="2" fontId="22" fillId="5" borderId="1" xfId="0" applyNumberFormat="1" applyFont="1" applyFill="1" applyBorder="1" applyAlignment="1">
      <alignment horizontal="center"/>
    </xf>
    <xf numFmtId="0" fontId="0" fillId="3" borderId="1" xfId="0" applyFill="1" applyBorder="1" applyAlignment="1">
      <alignment horizontal="center"/>
    </xf>
    <xf numFmtId="0" fontId="16" fillId="3" borderId="1" xfId="0" applyFont="1" applyFill="1" applyBorder="1" applyAlignment="1">
      <alignment horizontal="center"/>
    </xf>
    <xf numFmtId="0" fontId="0" fillId="3" borderId="1" xfId="0" applyFill="1" applyBorder="1" applyProtection="1"/>
    <xf numFmtId="1" fontId="21" fillId="3" borderId="1" xfId="0" applyNumberFormat="1" applyFont="1" applyFill="1" applyBorder="1" applyAlignment="1">
      <alignment horizontal="center"/>
    </xf>
    <xf numFmtId="1" fontId="21" fillId="3" borderId="1" xfId="0" applyNumberFormat="1" applyFont="1" applyFill="1" applyBorder="1" applyAlignment="1"/>
    <xf numFmtId="0" fontId="0" fillId="3" borderId="1" xfId="0" applyFill="1" applyBorder="1" applyAlignment="1"/>
    <xf numFmtId="167" fontId="16" fillId="3" borderId="1" xfId="0" applyNumberFormat="1" applyFont="1" applyFill="1" applyBorder="1" applyAlignment="1">
      <alignment horizontal="center"/>
    </xf>
    <xf numFmtId="0" fontId="0" fillId="0" borderId="1" xfId="0" applyBorder="1" applyAlignment="1">
      <alignment horizontal="center" wrapText="1"/>
    </xf>
    <xf numFmtId="0" fontId="25" fillId="0" borderId="0" xfId="0" applyFont="1" applyAlignment="1">
      <alignment horizontal="center" vertical="top" wrapText="1"/>
    </xf>
    <xf numFmtId="0" fontId="0" fillId="0" borderId="0" xfId="0" applyAlignment="1">
      <alignment vertical="center" wrapText="1"/>
    </xf>
    <xf numFmtId="0" fontId="25" fillId="8" borderId="0" xfId="0" applyFont="1" applyFill="1" applyAlignment="1">
      <alignment horizontal="left" vertical="center" wrapText="1"/>
    </xf>
    <xf numFmtId="0" fontId="10" fillId="0" borderId="0" xfId="0" applyFont="1" applyFill="1" applyBorder="1" applyAlignment="1">
      <alignment vertical="center" wrapText="1"/>
    </xf>
    <xf numFmtId="0" fontId="3" fillId="0" borderId="15" xfId="0" applyFont="1" applyBorder="1" applyAlignment="1">
      <alignment horizontal="left" wrapText="1"/>
    </xf>
    <xf numFmtId="0" fontId="3" fillId="0" borderId="3" xfId="0" applyFont="1" applyBorder="1" applyAlignment="1">
      <alignment horizontal="left" wrapText="1"/>
    </xf>
    <xf numFmtId="0" fontId="26" fillId="0" borderId="35" xfId="0" applyFont="1" applyBorder="1" applyAlignment="1">
      <alignment horizontal="center" vertical="center" wrapText="1"/>
    </xf>
    <xf numFmtId="0" fontId="26" fillId="0" borderId="35" xfId="0" applyFont="1" applyBorder="1" applyAlignment="1">
      <alignment horizontal="center" vertical="center"/>
    </xf>
    <xf numFmtId="0" fontId="10" fillId="0" borderId="0" xfId="0" applyFont="1" applyFill="1" applyAlignment="1">
      <alignment vertical="center" wrapText="1"/>
    </xf>
    <xf numFmtId="0" fontId="0" fillId="0" borderId="0" xfId="0" applyAlignment="1">
      <alignment wrapText="1"/>
    </xf>
    <xf numFmtId="0" fontId="0" fillId="0" borderId="1" xfId="0" applyBorder="1" applyAlignment="1">
      <alignment horizontal="center" vertical="center" wrapText="1"/>
    </xf>
    <xf numFmtId="0" fontId="26" fillId="0" borderId="1" xfId="0" applyFont="1" applyBorder="1" applyAlignment="1">
      <alignment horizontal="center"/>
    </xf>
    <xf numFmtId="0" fontId="0" fillId="0" borderId="0" xfId="0" applyBorder="1" applyAlignment="1">
      <alignment vertical="center" wrapText="1"/>
    </xf>
    <xf numFmtId="0" fontId="0" fillId="0" borderId="32" xfId="0" applyBorder="1" applyAlignment="1">
      <alignment horizontal="center" wrapText="1"/>
    </xf>
    <xf numFmtId="0" fontId="0" fillId="0" borderId="28" xfId="0" applyBorder="1" applyAlignment="1">
      <alignment horizontal="center" wrapText="1"/>
    </xf>
    <xf numFmtId="0" fontId="0" fillId="6" borderId="2" xfId="0" applyFill="1" applyBorder="1" applyAlignment="1">
      <alignment horizontal="right" vertical="center"/>
    </xf>
    <xf numFmtId="0" fontId="0" fillId="6" borderId="3" xfId="0" applyFill="1" applyBorder="1" applyAlignment="1">
      <alignment horizontal="right" vertical="center"/>
    </xf>
    <xf numFmtId="0" fontId="0" fillId="0" borderId="25" xfId="0" applyBorder="1" applyAlignment="1">
      <alignment horizontal="center" wrapText="1"/>
    </xf>
    <xf numFmtId="0" fontId="0" fillId="0" borderId="26" xfId="0" applyBorder="1" applyAlignment="1">
      <alignment horizontal="center" wrapText="1"/>
    </xf>
    <xf numFmtId="0" fontId="0" fillId="0" borderId="30" xfId="0" applyBorder="1" applyAlignment="1">
      <alignment horizontal="center" wrapText="1"/>
    </xf>
    <xf numFmtId="0" fontId="0" fillId="0" borderId="18" xfId="0" applyBorder="1" applyAlignment="1">
      <alignment horizontal="center" wrapText="1"/>
    </xf>
    <xf numFmtId="0" fontId="0" fillId="0" borderId="0" xfId="0" applyBorder="1" applyAlignment="1">
      <alignment horizontal="center" wrapText="1"/>
    </xf>
    <xf numFmtId="0" fontId="0" fillId="0" borderId="31" xfId="0" applyBorder="1" applyAlignment="1">
      <alignment horizontal="center" wrapText="1"/>
    </xf>
    <xf numFmtId="0" fontId="13" fillId="0" borderId="25" xfId="0" applyFont="1" applyFill="1" applyBorder="1" applyAlignment="1" applyProtection="1">
      <alignment horizontal="right" vertical="center" wrapText="1"/>
    </xf>
    <xf numFmtId="0" fontId="13" fillId="0" borderId="26" xfId="0" applyFont="1" applyFill="1" applyBorder="1" applyAlignment="1" applyProtection="1">
      <alignment horizontal="right" vertical="center" wrapText="1"/>
    </xf>
    <xf numFmtId="0" fontId="0" fillId="0" borderId="1" xfId="0" applyFill="1" applyBorder="1" applyAlignment="1" applyProtection="1">
      <alignment horizontal="center" vertical="center" wrapText="1"/>
    </xf>
    <xf numFmtId="3" fontId="38" fillId="0" borderId="2" xfId="0" applyNumberFormat="1" applyFont="1" applyBorder="1" applyAlignment="1">
      <alignment horizontal="center" vertical="center"/>
    </xf>
    <xf numFmtId="3" fontId="38" fillId="0" borderId="3" xfId="0" applyNumberFormat="1"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26" fillId="0" borderId="0" xfId="0" applyFont="1" applyAlignment="1">
      <alignment horizontal="center" vertical="center" wrapText="1"/>
    </xf>
    <xf numFmtId="0" fontId="26" fillId="0" borderId="0" xfId="0" applyFont="1" applyAlignment="1">
      <alignment horizontal="center" vertical="center"/>
    </xf>
    <xf numFmtId="0" fontId="0" fillId="0" borderId="32" xfId="0" applyBorder="1" applyAlignment="1">
      <alignment horizontal="center"/>
    </xf>
    <xf numFmtId="0" fontId="0" fillId="0" borderId="23" xfId="0" applyBorder="1" applyAlignment="1">
      <alignment horizontal="center"/>
    </xf>
    <xf numFmtId="0" fontId="0" fillId="0" borderId="1" xfId="0" applyBorder="1" applyAlignment="1">
      <alignment horizontal="center"/>
    </xf>
    <xf numFmtId="0" fontId="26" fillId="0" borderId="0" xfId="0" applyFont="1" applyAlignment="1">
      <alignment horizontal="center" wrapText="1"/>
    </xf>
    <xf numFmtId="0" fontId="26" fillId="0" borderId="0" xfId="0" applyFont="1" applyAlignment="1">
      <alignment horizontal="center"/>
    </xf>
    <xf numFmtId="0" fontId="26" fillId="0" borderId="20" xfId="0" applyFont="1" applyBorder="1" applyAlignment="1">
      <alignment horizontal="center" wrapText="1"/>
    </xf>
    <xf numFmtId="0" fontId="26" fillId="0" borderId="20" xfId="0" applyFont="1" applyBorder="1" applyAlignment="1">
      <alignment horizontal="center"/>
    </xf>
    <xf numFmtId="0" fontId="0" fillId="0" borderId="1" xfId="0" applyFont="1" applyFill="1" applyBorder="1" applyAlignment="1">
      <alignment horizontal="center" vertical="center" wrapText="1"/>
    </xf>
    <xf numFmtId="0" fontId="0" fillId="0" borderId="1" xfId="0" applyBorder="1" applyAlignment="1"/>
    <xf numFmtId="0" fontId="0" fillId="0" borderId="1" xfId="0"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171450</xdr:colOff>
      <xdr:row>0</xdr:row>
      <xdr:rowOff>171451</xdr:rowOff>
    </xdr:from>
    <xdr:to>
      <xdr:col>8</xdr:col>
      <xdr:colOff>885825</xdr:colOff>
      <xdr:row>0</xdr:row>
      <xdr:rowOff>643855</xdr:rowOff>
    </xdr:to>
    <xdr:pic>
      <xdr:nvPicPr>
        <xdr:cNvPr id="2" name="Picture 1"/>
        <xdr:cNvPicPr>
          <a:picLocks noChangeAspect="1"/>
        </xdr:cNvPicPr>
      </xdr:nvPicPr>
      <xdr:blipFill>
        <a:blip xmlns:r="http://schemas.openxmlformats.org/officeDocument/2006/relationships" r:embed="rId1"/>
        <a:stretch>
          <a:fillRect/>
        </a:stretch>
      </xdr:blipFill>
      <xdr:spPr>
        <a:xfrm>
          <a:off x="4438650" y="171451"/>
          <a:ext cx="1323975" cy="472404"/>
        </a:xfrm>
        <a:prstGeom prst="rect">
          <a:avLst/>
        </a:prstGeom>
      </xdr:spPr>
    </xdr:pic>
    <xdr:clientData/>
  </xdr:twoCellAnchor>
  <xdr:twoCellAnchor editAs="oneCell">
    <xdr:from>
      <xdr:col>0</xdr:col>
      <xdr:colOff>85726</xdr:colOff>
      <xdr:row>0</xdr:row>
      <xdr:rowOff>76200</xdr:rowOff>
    </xdr:from>
    <xdr:to>
      <xdr:col>2</xdr:col>
      <xdr:colOff>295276</xdr:colOff>
      <xdr:row>0</xdr:row>
      <xdr:rowOff>698015</xdr:rowOff>
    </xdr:to>
    <xdr:pic>
      <xdr:nvPicPr>
        <xdr:cNvPr id="6" name="Picture 5" descr="Related imag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6" y="76200"/>
          <a:ext cx="1428750" cy="621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L4" sqref="L4"/>
    </sheetView>
  </sheetViews>
  <sheetFormatPr defaultRowHeight="14.5"/>
  <cols>
    <col min="9" max="9" width="15.7265625" customWidth="1"/>
  </cols>
  <sheetData>
    <row r="1" spans="1:11" ht="270" customHeight="1">
      <c r="A1" s="380" t="s">
        <v>238</v>
      </c>
      <c r="B1" s="380"/>
      <c r="C1" s="380"/>
      <c r="D1" s="380"/>
      <c r="E1" s="380"/>
      <c r="F1" s="380"/>
      <c r="G1" s="380"/>
      <c r="H1" s="380"/>
      <c r="I1" s="380"/>
    </row>
    <row r="2" spans="1:11" ht="155" customHeight="1">
      <c r="A2" s="381" t="s">
        <v>236</v>
      </c>
      <c r="B2" s="381"/>
      <c r="C2" s="381"/>
      <c r="D2" s="381"/>
      <c r="E2" s="381"/>
      <c r="F2" s="381"/>
      <c r="G2" s="381"/>
      <c r="H2" s="381"/>
      <c r="I2" s="381"/>
    </row>
    <row r="3" spans="1:11" ht="31" customHeight="1">
      <c r="A3" s="382" t="s">
        <v>229</v>
      </c>
      <c r="B3" s="382"/>
      <c r="C3" s="382"/>
      <c r="D3" s="382"/>
      <c r="E3" s="382"/>
      <c r="F3" s="382"/>
      <c r="G3" s="382"/>
      <c r="H3" s="382"/>
      <c r="I3" s="382"/>
    </row>
    <row r="4" spans="1:11" ht="227.25" customHeight="1">
      <c r="A4" s="381" t="s">
        <v>237</v>
      </c>
      <c r="B4" s="381"/>
      <c r="C4" s="381"/>
      <c r="D4" s="381"/>
      <c r="E4" s="381"/>
      <c r="F4" s="381"/>
      <c r="G4" s="381"/>
      <c r="H4" s="381"/>
      <c r="I4" s="381"/>
      <c r="K4" s="115"/>
    </row>
  </sheetData>
  <mergeCells count="4">
    <mergeCell ref="A1:I1"/>
    <mergeCell ref="A2:I2"/>
    <mergeCell ref="A4:I4"/>
    <mergeCell ref="A3:I3"/>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2"/>
  <sheetViews>
    <sheetView zoomScale="140" zoomScaleNormal="140" workbookViewId="0">
      <pane xSplit="3" ySplit="2" topLeftCell="D3" activePane="bottomRight" state="frozen"/>
      <selection pane="topRight" activeCell="D1" sqref="D1"/>
      <selection pane="bottomLeft" activeCell="A3" sqref="A3"/>
      <selection pane="bottomRight" activeCell="F92" sqref="F92"/>
    </sheetView>
  </sheetViews>
  <sheetFormatPr defaultRowHeight="14.5"/>
  <cols>
    <col min="1" max="1" width="2.81640625" customWidth="1"/>
    <col min="2" max="2" width="2.453125" customWidth="1"/>
    <col min="3" max="3" width="40.26953125" customWidth="1"/>
    <col min="4" max="4" width="8" customWidth="1"/>
    <col min="5" max="6" width="10.54296875" customWidth="1"/>
    <col min="7" max="7" width="10.81640625" customWidth="1"/>
    <col min="8" max="8" width="17.26953125" customWidth="1"/>
  </cols>
  <sheetData>
    <row r="1" spans="1:9" ht="54" customHeight="1" thickBot="1">
      <c r="A1" s="62">
        <v>1</v>
      </c>
      <c r="B1" s="386" t="s">
        <v>191</v>
      </c>
      <c r="C1" s="387"/>
      <c r="D1" s="387"/>
      <c r="E1" s="387"/>
      <c r="F1" s="387"/>
      <c r="G1" s="387"/>
    </row>
    <row r="2" spans="1:9" ht="18.5">
      <c r="A2" s="62">
        <v>2</v>
      </c>
      <c r="B2" s="27"/>
      <c r="C2" s="225" t="s">
        <v>42</v>
      </c>
      <c r="D2" s="226"/>
      <c r="E2" s="227">
        <v>21000</v>
      </c>
      <c r="F2" s="227">
        <v>24000</v>
      </c>
      <c r="G2" s="228">
        <v>27000</v>
      </c>
      <c r="H2" s="170"/>
    </row>
    <row r="3" spans="1:9" ht="16.5">
      <c r="A3" s="62">
        <v>3</v>
      </c>
      <c r="B3" s="76"/>
      <c r="C3" s="77" t="s">
        <v>197</v>
      </c>
      <c r="D3" s="78"/>
      <c r="E3" s="79">
        <v>600</v>
      </c>
      <c r="F3" s="79">
        <v>600</v>
      </c>
      <c r="G3" s="80">
        <v>600</v>
      </c>
      <c r="H3" s="33"/>
    </row>
    <row r="4" spans="1:9">
      <c r="A4" s="62">
        <v>4</v>
      </c>
      <c r="B4" s="28"/>
      <c r="C4" s="13" t="s">
        <v>228</v>
      </c>
      <c r="D4" s="3"/>
      <c r="E4" s="49">
        <v>17</v>
      </c>
      <c r="F4" s="49">
        <v>17</v>
      </c>
      <c r="G4" s="55">
        <v>17</v>
      </c>
      <c r="H4" s="33"/>
    </row>
    <row r="5" spans="1:9">
      <c r="A5" s="62">
        <v>5</v>
      </c>
      <c r="B5" s="28"/>
      <c r="C5" s="13" t="s">
        <v>19</v>
      </c>
      <c r="D5" s="3"/>
      <c r="E5" s="51">
        <v>100</v>
      </c>
      <c r="F5" s="51">
        <v>100</v>
      </c>
      <c r="G5" s="50">
        <v>100</v>
      </c>
      <c r="H5" s="33"/>
    </row>
    <row r="6" spans="1:9">
      <c r="A6" s="62">
        <v>6</v>
      </c>
      <c r="B6" s="28"/>
      <c r="C6" s="13" t="s">
        <v>20</v>
      </c>
      <c r="D6" s="3"/>
      <c r="E6" s="51">
        <v>175</v>
      </c>
      <c r="F6" s="51">
        <v>225</v>
      </c>
      <c r="G6" s="50">
        <v>275</v>
      </c>
      <c r="H6" s="33"/>
    </row>
    <row r="7" spans="1:9">
      <c r="A7" s="62">
        <v>7</v>
      </c>
      <c r="B7" s="28"/>
      <c r="C7" s="13" t="s">
        <v>32</v>
      </c>
      <c r="D7" s="3"/>
      <c r="E7" s="51">
        <v>13</v>
      </c>
      <c r="F7" s="51">
        <v>13</v>
      </c>
      <c r="G7" s="50">
        <v>13</v>
      </c>
      <c r="H7" s="33"/>
    </row>
    <row r="8" spans="1:9">
      <c r="A8" s="62">
        <v>8</v>
      </c>
      <c r="B8" s="28"/>
      <c r="C8" s="13" t="s">
        <v>33</v>
      </c>
      <c r="D8" s="3"/>
      <c r="E8" s="56">
        <v>0.02</v>
      </c>
      <c r="F8" s="56">
        <v>0.02</v>
      </c>
      <c r="G8" s="57">
        <v>0.02</v>
      </c>
      <c r="H8" s="34"/>
    </row>
    <row r="9" spans="1:9">
      <c r="A9" s="62">
        <v>9</v>
      </c>
      <c r="B9" s="28"/>
      <c r="C9" s="13" t="s">
        <v>37</v>
      </c>
      <c r="D9" s="3"/>
      <c r="E9" s="51">
        <v>50</v>
      </c>
      <c r="F9" s="51">
        <v>50</v>
      </c>
      <c r="G9" s="50">
        <v>50</v>
      </c>
      <c r="H9" s="33"/>
    </row>
    <row r="10" spans="1:9">
      <c r="A10" s="62">
        <v>10</v>
      </c>
      <c r="B10" s="28"/>
      <c r="C10" s="13" t="s">
        <v>35</v>
      </c>
      <c r="D10" s="3"/>
      <c r="E10" s="52">
        <v>0.33</v>
      </c>
      <c r="F10" s="52">
        <v>0.33</v>
      </c>
      <c r="G10" s="58">
        <v>0.33</v>
      </c>
      <c r="H10" s="35"/>
    </row>
    <row r="11" spans="1:9">
      <c r="A11" s="62">
        <v>11</v>
      </c>
      <c r="B11" s="28"/>
      <c r="C11" s="13" t="s">
        <v>192</v>
      </c>
      <c r="D11" s="3"/>
      <c r="E11" s="74">
        <v>1000</v>
      </c>
      <c r="F11" s="74">
        <v>1250</v>
      </c>
      <c r="G11" s="75">
        <v>1500</v>
      </c>
      <c r="H11" s="33"/>
    </row>
    <row r="12" spans="1:9">
      <c r="A12" s="62">
        <v>12</v>
      </c>
      <c r="B12" s="28"/>
      <c r="C12" s="13" t="s">
        <v>21</v>
      </c>
      <c r="D12" s="3"/>
      <c r="E12" s="51">
        <v>15</v>
      </c>
      <c r="F12" s="51">
        <v>15</v>
      </c>
      <c r="G12" s="50">
        <v>15</v>
      </c>
      <c r="H12" s="33"/>
    </row>
    <row r="13" spans="1:9" ht="15" thickBot="1">
      <c r="A13" s="62">
        <v>13</v>
      </c>
      <c r="B13" s="31"/>
      <c r="C13" s="141" t="s">
        <v>22</v>
      </c>
      <c r="D13" s="142"/>
      <c r="E13" s="143">
        <v>46</v>
      </c>
      <c r="F13" s="143">
        <v>46</v>
      </c>
      <c r="G13" s="144">
        <v>46</v>
      </c>
      <c r="H13" s="33"/>
    </row>
    <row r="14" spans="1:9">
      <c r="A14" s="62">
        <v>14</v>
      </c>
      <c r="B14" s="76"/>
      <c r="C14" s="77"/>
      <c r="D14" s="78"/>
      <c r="E14" s="78"/>
      <c r="F14" s="78"/>
      <c r="G14" s="140"/>
      <c r="H14" s="33"/>
    </row>
    <row r="15" spans="1:9">
      <c r="A15" s="62">
        <v>15</v>
      </c>
      <c r="B15" s="29" t="s">
        <v>0</v>
      </c>
      <c r="C15" s="14"/>
      <c r="D15" s="2"/>
      <c r="E15" s="82" t="s">
        <v>14</v>
      </c>
      <c r="F15" s="82" t="s">
        <v>14</v>
      </c>
      <c r="G15" s="81" t="s">
        <v>14</v>
      </c>
      <c r="H15" s="26"/>
      <c r="I15" s="37"/>
    </row>
    <row r="16" spans="1:9">
      <c r="A16" s="62">
        <v>16</v>
      </c>
      <c r="B16" s="28"/>
      <c r="C16" s="14" t="s">
        <v>1</v>
      </c>
      <c r="D16" s="5"/>
      <c r="E16" s="4">
        <f>(E2/100)*E4</f>
        <v>3570</v>
      </c>
      <c r="F16" s="4">
        <f>(F2/100)*F4</f>
        <v>4080</v>
      </c>
      <c r="G16" s="17">
        <f>(G2/100)*G4</f>
        <v>4590</v>
      </c>
      <c r="H16" s="36"/>
    </row>
    <row r="17" spans="1:8" ht="16.5">
      <c r="A17" s="62">
        <v>17</v>
      </c>
      <c r="B17" s="28"/>
      <c r="C17" s="14" t="s">
        <v>199</v>
      </c>
      <c r="D17" s="6"/>
      <c r="E17" s="4">
        <f>((12/E7)*((1-E8)*0.5)*E5)</f>
        <v>45.230769230769226</v>
      </c>
      <c r="F17" s="4">
        <f>((12/F7)*((1-F8)*0.5)*F5)</f>
        <v>45.230769230769226</v>
      </c>
      <c r="G17" s="17">
        <f>((12/G7)*((1-G8)*0.5)*G5)</f>
        <v>45.230769230769226</v>
      </c>
      <c r="H17" s="38"/>
    </row>
    <row r="18" spans="1:8" ht="16.5">
      <c r="A18" s="62">
        <v>18</v>
      </c>
      <c r="B18" s="28"/>
      <c r="C18" s="14" t="s">
        <v>200</v>
      </c>
      <c r="D18" s="6"/>
      <c r="E18" s="4">
        <f>((12/E7)*((1-E8)*0.5)*E6)</f>
        <v>79.153846153846146</v>
      </c>
      <c r="F18" s="4">
        <f>((12/F7)*((1-F8)*0.5)*F6)</f>
        <v>101.76923076923077</v>
      </c>
      <c r="G18" s="17">
        <f>((12/G7)*((1-G8)*0.5)*G6)</f>
        <v>124.38461538461539</v>
      </c>
      <c r="H18" s="38"/>
    </row>
    <row r="19" spans="1:8">
      <c r="A19" s="62">
        <v>19</v>
      </c>
      <c r="B19" s="28"/>
      <c r="C19" s="14" t="s">
        <v>26</v>
      </c>
      <c r="D19" s="71">
        <v>1400</v>
      </c>
      <c r="E19" s="10">
        <f>E10*($D$19/100)*E9</f>
        <v>231</v>
      </c>
      <c r="F19" s="10">
        <f>F10*($D$19/100)*F9</f>
        <v>231</v>
      </c>
      <c r="G19" s="21">
        <f>G10*($D$19/100)*G9</f>
        <v>231</v>
      </c>
      <c r="H19" s="39"/>
    </row>
    <row r="20" spans="1:8">
      <c r="A20" s="62">
        <v>20</v>
      </c>
      <c r="B20" s="28"/>
      <c r="C20" s="14" t="s">
        <v>12</v>
      </c>
      <c r="D20" s="176"/>
      <c r="E20" s="10"/>
      <c r="F20" s="10"/>
      <c r="G20" s="21"/>
      <c r="H20" s="39"/>
    </row>
    <row r="21" spans="1:8">
      <c r="A21" s="62">
        <v>21</v>
      </c>
      <c r="B21" s="28"/>
      <c r="C21" s="14" t="s">
        <v>12</v>
      </c>
      <c r="D21" s="190"/>
      <c r="E21" s="2"/>
      <c r="F21" s="10"/>
      <c r="G21" s="16"/>
      <c r="H21" s="37"/>
    </row>
    <row r="22" spans="1:8" s="1" customFormat="1" ht="15" thickBot="1">
      <c r="A22" s="62">
        <v>22</v>
      </c>
      <c r="B22" s="149"/>
      <c r="C22" s="150" t="s">
        <v>2</v>
      </c>
      <c r="D22" s="151"/>
      <c r="E22" s="152">
        <f>SUM(E16:E21)</f>
        <v>3925.3846153846152</v>
      </c>
      <c r="F22" s="152">
        <f t="shared" ref="F22:G22" si="0">SUM(F16:F21)</f>
        <v>4458</v>
      </c>
      <c r="G22" s="153">
        <f t="shared" si="0"/>
        <v>4990.6153846153848</v>
      </c>
      <c r="H22" s="47"/>
    </row>
    <row r="23" spans="1:8">
      <c r="A23" s="62">
        <v>23</v>
      </c>
      <c r="B23" s="145" t="s">
        <v>3</v>
      </c>
      <c r="C23" s="146"/>
      <c r="D23" s="147"/>
      <c r="E23" s="147"/>
      <c r="F23" s="147"/>
      <c r="G23" s="148"/>
      <c r="H23" s="37"/>
    </row>
    <row r="24" spans="1:8">
      <c r="A24" s="62">
        <v>24</v>
      </c>
      <c r="B24" s="29"/>
      <c r="C24" s="239"/>
      <c r="D24" s="240" t="s">
        <v>195</v>
      </c>
      <c r="E24" s="234">
        <f>'Feed Costs Calculator'!I4</f>
        <v>1490.2874677605248</v>
      </c>
      <c r="F24" s="234">
        <f>'Feed Costs Calculator'!L4</f>
        <v>1651.9430692847325</v>
      </c>
      <c r="G24" s="235">
        <f>'Feed Costs Calculator'!O4</f>
        <v>1778.518849230637</v>
      </c>
      <c r="H24" s="37"/>
    </row>
    <row r="25" spans="1:8" ht="16.5">
      <c r="A25" s="62">
        <v>25</v>
      </c>
      <c r="B25" s="28"/>
      <c r="C25" s="14" t="s">
        <v>202</v>
      </c>
      <c r="D25" s="2"/>
      <c r="E25" s="53">
        <v>1466</v>
      </c>
      <c r="F25" s="53">
        <v>1632</v>
      </c>
      <c r="G25" s="59">
        <v>1755</v>
      </c>
      <c r="H25" s="36"/>
    </row>
    <row r="26" spans="1:8">
      <c r="A26" s="62">
        <v>26</v>
      </c>
      <c r="B26" s="28"/>
      <c r="C26" s="14" t="s">
        <v>161</v>
      </c>
      <c r="D26" s="2"/>
      <c r="E26" s="175">
        <f>E13*E12</f>
        <v>690</v>
      </c>
      <c r="F26" s="175">
        <f t="shared" ref="F26:G26" si="1">F13*F12</f>
        <v>690</v>
      </c>
      <c r="G26" s="18">
        <f t="shared" si="1"/>
        <v>690</v>
      </c>
      <c r="H26" s="36"/>
    </row>
    <row r="27" spans="1:8">
      <c r="A27" s="62">
        <v>27</v>
      </c>
      <c r="B27" s="28"/>
      <c r="C27" s="14" t="s">
        <v>4</v>
      </c>
      <c r="D27" s="2"/>
      <c r="E27" s="53">
        <v>70</v>
      </c>
      <c r="F27" s="53">
        <v>75</v>
      </c>
      <c r="G27" s="59">
        <v>80</v>
      </c>
      <c r="H27" s="36"/>
    </row>
    <row r="28" spans="1:8">
      <c r="A28" s="62">
        <v>28</v>
      </c>
      <c r="B28" s="28"/>
      <c r="C28" s="14" t="s">
        <v>30</v>
      </c>
      <c r="D28" s="2"/>
      <c r="E28" s="53"/>
      <c r="F28" s="53"/>
      <c r="G28" s="59"/>
      <c r="H28" s="36"/>
    </row>
    <row r="29" spans="1:8">
      <c r="A29" s="62">
        <v>29</v>
      </c>
      <c r="B29" s="28"/>
      <c r="C29" s="14" t="s">
        <v>15</v>
      </c>
      <c r="D29" s="2"/>
      <c r="E29" s="53">
        <v>100</v>
      </c>
      <c r="F29" s="53">
        <v>115</v>
      </c>
      <c r="G29" s="59">
        <v>125</v>
      </c>
      <c r="H29" s="36"/>
    </row>
    <row r="30" spans="1:8">
      <c r="A30" s="62">
        <v>30</v>
      </c>
      <c r="B30" s="28"/>
      <c r="C30" s="14" t="s">
        <v>16</v>
      </c>
      <c r="D30" s="2"/>
      <c r="E30" s="53">
        <v>25</v>
      </c>
      <c r="F30" s="53">
        <v>25</v>
      </c>
      <c r="G30" s="59">
        <v>25</v>
      </c>
      <c r="H30" s="36"/>
    </row>
    <row r="31" spans="1:8">
      <c r="A31" s="62">
        <v>31</v>
      </c>
      <c r="B31" s="28"/>
      <c r="C31" s="14" t="s">
        <v>5</v>
      </c>
      <c r="D31" s="2"/>
      <c r="E31" s="53">
        <v>180</v>
      </c>
      <c r="F31" s="53">
        <v>200</v>
      </c>
      <c r="G31" s="59">
        <v>225</v>
      </c>
      <c r="H31" s="36"/>
    </row>
    <row r="32" spans="1:8">
      <c r="A32" s="62">
        <v>32</v>
      </c>
      <c r="B32" s="28"/>
      <c r="C32" s="14" t="s">
        <v>6</v>
      </c>
      <c r="D32" s="2"/>
      <c r="E32" s="53">
        <v>105</v>
      </c>
      <c r="F32" s="53">
        <v>105</v>
      </c>
      <c r="G32" s="59">
        <v>105</v>
      </c>
      <c r="H32" s="36"/>
    </row>
    <row r="33" spans="1:9">
      <c r="A33" s="62">
        <v>33</v>
      </c>
      <c r="B33" s="28"/>
      <c r="C33" s="14" t="s">
        <v>17</v>
      </c>
      <c r="D33" s="2"/>
      <c r="E33" s="53">
        <v>91</v>
      </c>
      <c r="F33" s="53">
        <v>91</v>
      </c>
      <c r="G33" s="59">
        <v>91</v>
      </c>
      <c r="H33" s="36"/>
    </row>
    <row r="34" spans="1:9">
      <c r="A34" s="62">
        <v>34</v>
      </c>
      <c r="B34" s="28"/>
      <c r="C34" s="14" t="s">
        <v>7</v>
      </c>
      <c r="D34" s="2"/>
      <c r="E34" s="53"/>
      <c r="F34" s="53"/>
      <c r="G34" s="59"/>
      <c r="H34" s="36"/>
    </row>
    <row r="35" spans="1:9">
      <c r="A35" s="62">
        <v>35</v>
      </c>
      <c r="B35" s="28"/>
      <c r="C35" s="14" t="s">
        <v>27</v>
      </c>
      <c r="D35" s="72">
        <v>0.8</v>
      </c>
      <c r="E35" s="4">
        <f>($D$35*(E2/100))</f>
        <v>168</v>
      </c>
      <c r="F35" s="4">
        <f>($D$35*(F2/100))</f>
        <v>192</v>
      </c>
      <c r="G35" s="17">
        <f>($D$35*(G2/100))</f>
        <v>216</v>
      </c>
      <c r="H35" s="36"/>
    </row>
    <row r="36" spans="1:9">
      <c r="A36" s="62">
        <v>36</v>
      </c>
      <c r="B36" s="28"/>
      <c r="C36" s="14" t="s">
        <v>10</v>
      </c>
      <c r="D36" s="2"/>
      <c r="E36" s="53">
        <v>70</v>
      </c>
      <c r="F36" s="53">
        <v>80</v>
      </c>
      <c r="G36" s="59">
        <v>90</v>
      </c>
      <c r="H36" s="36"/>
    </row>
    <row r="37" spans="1:9" ht="16.5">
      <c r="A37" s="62">
        <v>37</v>
      </c>
      <c r="B37" s="28"/>
      <c r="C37" s="14" t="s">
        <v>204</v>
      </c>
      <c r="D37" s="2"/>
      <c r="E37" s="4">
        <f>E11*E10</f>
        <v>330</v>
      </c>
      <c r="F37" s="4">
        <f>F11*F10</f>
        <v>412.5</v>
      </c>
      <c r="G37" s="17">
        <f>G11*G10</f>
        <v>495</v>
      </c>
      <c r="H37" s="36"/>
    </row>
    <row r="38" spans="1:9">
      <c r="A38" s="62">
        <v>38</v>
      </c>
      <c r="B38" s="28"/>
      <c r="C38" s="14" t="s">
        <v>29</v>
      </c>
      <c r="D38" s="2"/>
      <c r="E38" s="53"/>
      <c r="F38" s="53"/>
      <c r="G38" s="59"/>
      <c r="H38" s="36"/>
    </row>
    <row r="39" spans="1:9">
      <c r="A39" s="62">
        <v>39</v>
      </c>
      <c r="B39" s="28"/>
      <c r="C39" s="14" t="s">
        <v>31</v>
      </c>
      <c r="D39" s="2"/>
      <c r="E39" s="53"/>
      <c r="F39" s="53"/>
      <c r="G39" s="59"/>
      <c r="H39" s="36"/>
    </row>
    <row r="40" spans="1:9">
      <c r="A40" s="62">
        <v>40</v>
      </c>
      <c r="B40" s="28"/>
      <c r="C40" s="14" t="s">
        <v>196</v>
      </c>
      <c r="D40" s="118"/>
      <c r="E40" s="53"/>
      <c r="F40" s="53"/>
      <c r="G40" s="59"/>
      <c r="H40" s="36"/>
    </row>
    <row r="41" spans="1:9">
      <c r="A41" s="62">
        <v>41</v>
      </c>
      <c r="B41" s="28"/>
      <c r="C41" s="14" t="s">
        <v>12</v>
      </c>
      <c r="D41" s="2"/>
      <c r="E41" s="53"/>
      <c r="F41" s="53"/>
      <c r="G41" s="59"/>
      <c r="H41" s="36"/>
    </row>
    <row r="42" spans="1:9" ht="16.5">
      <c r="A42" s="62">
        <v>42</v>
      </c>
      <c r="B42" s="28"/>
      <c r="C42" s="14" t="s">
        <v>205</v>
      </c>
      <c r="D42" s="73">
        <v>0.05</v>
      </c>
      <c r="E42" s="4">
        <f>(SUM(E25:E41)-E35)*0.5*$D$42</f>
        <v>78.175000000000011</v>
      </c>
      <c r="F42" s="4">
        <f t="shared" ref="F42:G42" si="2">(SUM(F25:F41)-F35)*0.5*$D$42</f>
        <v>85.637500000000003</v>
      </c>
      <c r="G42" s="17">
        <f t="shared" si="2"/>
        <v>92.025000000000006</v>
      </c>
      <c r="H42" s="36"/>
    </row>
    <row r="43" spans="1:9" s="1" customFormat="1" ht="15" thickBot="1">
      <c r="A43" s="62">
        <v>43</v>
      </c>
      <c r="B43" s="149"/>
      <c r="C43" s="150" t="s">
        <v>8</v>
      </c>
      <c r="D43" s="151"/>
      <c r="E43" s="154">
        <f>SUM(E25:E42)</f>
        <v>3373.1750000000002</v>
      </c>
      <c r="F43" s="154">
        <f t="shared" ref="F43:G43" si="3">SUM(F25:F42)</f>
        <v>3703.1374999999998</v>
      </c>
      <c r="G43" s="155">
        <f t="shared" si="3"/>
        <v>3989.0250000000001</v>
      </c>
      <c r="H43" s="48"/>
    </row>
    <row r="44" spans="1:9">
      <c r="A44" s="62">
        <v>44</v>
      </c>
      <c r="B44" s="145" t="s">
        <v>9</v>
      </c>
      <c r="C44" s="146"/>
      <c r="D44" s="147"/>
      <c r="E44" s="147"/>
      <c r="F44" s="147"/>
      <c r="G44" s="148"/>
      <c r="H44" s="37"/>
    </row>
    <row r="45" spans="1:9" ht="16.5">
      <c r="A45" s="62">
        <v>45</v>
      </c>
      <c r="B45" s="29"/>
      <c r="C45" s="231" t="s">
        <v>207</v>
      </c>
      <c r="D45" s="229" t="s">
        <v>168</v>
      </c>
      <c r="E45" s="2"/>
      <c r="F45" s="2"/>
      <c r="G45" s="16"/>
      <c r="H45" s="37"/>
    </row>
    <row r="46" spans="1:9">
      <c r="A46" s="62">
        <v>46</v>
      </c>
      <c r="B46" s="29"/>
      <c r="C46" s="14" t="s">
        <v>154</v>
      </c>
      <c r="D46" s="230">
        <f>'Mach and Bldg Cost calculator'!H42</f>
        <v>177.33566666666667</v>
      </c>
      <c r="E46" s="185">
        <v>177</v>
      </c>
      <c r="F46" s="185">
        <v>177</v>
      </c>
      <c r="G46" s="186">
        <v>177</v>
      </c>
      <c r="H46" s="37"/>
    </row>
    <row r="47" spans="1:9">
      <c r="A47" s="62">
        <v>47</v>
      </c>
      <c r="B47" s="29"/>
      <c r="C47" s="14" t="s">
        <v>155</v>
      </c>
      <c r="D47" s="230">
        <f>'Mach and Bldg Cost calculator'!I42</f>
        <v>172.43135000000001</v>
      </c>
      <c r="E47" s="185">
        <v>133</v>
      </c>
      <c r="F47" s="185">
        <v>133</v>
      </c>
      <c r="G47" s="186">
        <v>133</v>
      </c>
      <c r="H47" s="37"/>
    </row>
    <row r="48" spans="1:9">
      <c r="A48" s="62">
        <v>48</v>
      </c>
      <c r="B48" s="29"/>
      <c r="C48" s="14" t="s">
        <v>156</v>
      </c>
      <c r="D48" s="230">
        <f>'Mach and Bldg Cost calculator'!J42</f>
        <v>0</v>
      </c>
      <c r="E48" s="185">
        <v>0</v>
      </c>
      <c r="F48" s="185">
        <v>0</v>
      </c>
      <c r="G48" s="186">
        <v>0</v>
      </c>
      <c r="H48" s="26"/>
      <c r="I48" s="37"/>
    </row>
    <row r="49" spans="1:9">
      <c r="A49" s="62">
        <v>49</v>
      </c>
      <c r="B49" s="29"/>
      <c r="C49" s="14" t="s">
        <v>157</v>
      </c>
      <c r="D49" s="230">
        <f>'Mach and Bldg Cost calculator'!K42</f>
        <v>14.369279166666665</v>
      </c>
      <c r="E49" s="185">
        <v>11</v>
      </c>
      <c r="F49" s="185">
        <v>11</v>
      </c>
      <c r="G49" s="186">
        <v>11</v>
      </c>
      <c r="H49" s="26"/>
      <c r="I49" s="37"/>
    </row>
    <row r="50" spans="1:9">
      <c r="A50" s="62">
        <v>50</v>
      </c>
      <c r="B50" s="29"/>
      <c r="C50" s="14" t="s">
        <v>158</v>
      </c>
      <c r="D50" s="230">
        <f>'Mach and Bldg Cost calculator'!L42</f>
        <v>4.1952083333333334</v>
      </c>
      <c r="E50" s="185">
        <v>3</v>
      </c>
      <c r="F50" s="185">
        <v>3</v>
      </c>
      <c r="G50" s="186">
        <v>3</v>
      </c>
      <c r="H50" s="26"/>
      <c r="I50" s="37"/>
    </row>
    <row r="51" spans="1:9">
      <c r="A51" s="62">
        <v>51</v>
      </c>
      <c r="B51" s="29"/>
      <c r="C51" s="14" t="s">
        <v>159</v>
      </c>
      <c r="D51" s="2"/>
      <c r="E51" s="137"/>
      <c r="F51" s="2"/>
      <c r="G51" s="16"/>
      <c r="H51" s="37"/>
    </row>
    <row r="52" spans="1:9">
      <c r="A52" s="62">
        <v>52</v>
      </c>
      <c r="B52" s="29"/>
      <c r="C52" s="14" t="s">
        <v>154</v>
      </c>
      <c r="D52" s="2"/>
      <c r="E52" s="185"/>
      <c r="F52" s="54"/>
      <c r="G52" s="60"/>
      <c r="H52" s="37"/>
    </row>
    <row r="53" spans="1:9">
      <c r="A53" s="62">
        <v>53</v>
      </c>
      <c r="B53" s="29"/>
      <c r="C53" s="14" t="s">
        <v>193</v>
      </c>
      <c r="D53" s="73">
        <v>0.01</v>
      </c>
      <c r="E53" s="4">
        <f>((E11+E19)/2)*$D$53</f>
        <v>6.1550000000000002</v>
      </c>
      <c r="F53" s="4">
        <f>(F11+F19)*0.5*$D$53</f>
        <v>7.4050000000000002</v>
      </c>
      <c r="G53" s="17">
        <f>(G11+G19)*0.5*$D$53</f>
        <v>8.6549999999999994</v>
      </c>
      <c r="H53" s="37"/>
    </row>
    <row r="54" spans="1:9">
      <c r="A54" s="62">
        <v>54</v>
      </c>
      <c r="B54" s="29"/>
      <c r="C54" s="14" t="s">
        <v>194</v>
      </c>
      <c r="D54" s="73">
        <v>0.05</v>
      </c>
      <c r="E54" s="4">
        <f>((E11+E19)/2)*$D$54</f>
        <v>30.775000000000002</v>
      </c>
      <c r="F54" s="4">
        <f>(F11+F19)*0.5*$D$54</f>
        <v>37.024999999999999</v>
      </c>
      <c r="G54" s="17">
        <f>(G11+G19)*0.5*$D$54</f>
        <v>43.275000000000006</v>
      </c>
      <c r="H54" s="37"/>
    </row>
    <row r="55" spans="1:9" ht="16.5">
      <c r="A55" s="62">
        <v>55</v>
      </c>
      <c r="B55" s="29"/>
      <c r="C55" s="14" t="s">
        <v>212</v>
      </c>
      <c r="D55" s="2"/>
      <c r="E55" s="53"/>
      <c r="F55" s="54"/>
      <c r="G55" s="60"/>
      <c r="H55" s="37"/>
    </row>
    <row r="56" spans="1:9">
      <c r="A56" s="62">
        <v>56</v>
      </c>
      <c r="B56" s="28"/>
      <c r="C56" s="14" t="s">
        <v>18</v>
      </c>
      <c r="D56" s="73">
        <v>0</v>
      </c>
      <c r="E56" s="4">
        <f>E22*$D$56</f>
        <v>0</v>
      </c>
      <c r="F56" s="4">
        <f>F22*$D$56</f>
        <v>0</v>
      </c>
      <c r="G56" s="17">
        <f>G22*$D$56</f>
        <v>0</v>
      </c>
      <c r="H56" s="36"/>
    </row>
    <row r="57" spans="1:9">
      <c r="A57" s="62">
        <v>57</v>
      </c>
      <c r="B57" s="28"/>
      <c r="C57" s="14" t="s">
        <v>12</v>
      </c>
      <c r="D57" s="2"/>
      <c r="E57" s="53"/>
      <c r="F57" s="54"/>
      <c r="G57" s="60"/>
      <c r="H57" s="37"/>
    </row>
    <row r="58" spans="1:9">
      <c r="A58" s="62">
        <v>58</v>
      </c>
      <c r="B58" s="28"/>
      <c r="C58" s="14" t="s">
        <v>12</v>
      </c>
      <c r="D58" s="2"/>
      <c r="E58" s="53"/>
      <c r="F58" s="54"/>
      <c r="G58" s="60"/>
      <c r="H58" s="37"/>
    </row>
    <row r="59" spans="1:9" s="1" customFormat="1" ht="15" thickBot="1">
      <c r="A59" s="62">
        <v>59</v>
      </c>
      <c r="B59" s="149"/>
      <c r="C59" s="150" t="s">
        <v>11</v>
      </c>
      <c r="D59" s="151"/>
      <c r="E59" s="154">
        <f>SUM(E45:E58)</f>
        <v>360.92999999999995</v>
      </c>
      <c r="F59" s="154">
        <f>SUM(F45:F58)</f>
        <v>368.42999999999995</v>
      </c>
      <c r="G59" s="155">
        <f>SUM(G45:G58)</f>
        <v>375.92999999999995</v>
      </c>
      <c r="H59" s="48"/>
    </row>
    <row r="60" spans="1:9">
      <c r="A60" s="62">
        <v>60</v>
      </c>
      <c r="B60" s="76"/>
      <c r="C60" s="156"/>
      <c r="D60" s="157"/>
      <c r="E60" s="157"/>
      <c r="F60" s="157"/>
      <c r="G60" s="158"/>
      <c r="H60" s="41"/>
    </row>
    <row r="61" spans="1:9">
      <c r="A61" s="62">
        <v>61</v>
      </c>
      <c r="B61" s="28"/>
      <c r="C61" s="43" t="s">
        <v>41</v>
      </c>
      <c r="D61" s="44"/>
      <c r="E61" s="45">
        <f>E43+E59</f>
        <v>3734.105</v>
      </c>
      <c r="F61" s="45">
        <f>F43+F59</f>
        <v>4071.5674999999997</v>
      </c>
      <c r="G61" s="46">
        <f>G43+G59</f>
        <v>4364.9549999999999</v>
      </c>
      <c r="H61" s="47"/>
    </row>
    <row r="62" spans="1:9">
      <c r="A62" s="62">
        <v>62</v>
      </c>
      <c r="B62" s="28"/>
      <c r="C62" s="15" t="s">
        <v>40</v>
      </c>
      <c r="D62" s="7"/>
      <c r="E62" s="8">
        <f>E22-E61</f>
        <v>191.27961538461523</v>
      </c>
      <c r="F62" s="8">
        <f>F22-F61</f>
        <v>386.43250000000035</v>
      </c>
      <c r="G62" s="19">
        <f>G22-G61</f>
        <v>625.66038461538483</v>
      </c>
      <c r="H62" s="40"/>
    </row>
    <row r="63" spans="1:9">
      <c r="A63" s="62">
        <v>63</v>
      </c>
      <c r="B63" s="28"/>
      <c r="C63" s="15" t="s">
        <v>24</v>
      </c>
      <c r="D63" s="7"/>
      <c r="E63" s="9">
        <f>E62/(E2/100)</f>
        <v>0.91085531135531062</v>
      </c>
      <c r="F63" s="9">
        <f>F62/(F2/100)</f>
        <v>1.6101354166666682</v>
      </c>
      <c r="G63" s="20">
        <f>G62/(G2/100)</f>
        <v>2.3172606837606846</v>
      </c>
      <c r="H63" s="42"/>
    </row>
    <row r="64" spans="1:9">
      <c r="A64" s="62">
        <v>64</v>
      </c>
      <c r="B64" s="28"/>
      <c r="C64" s="15" t="s">
        <v>28</v>
      </c>
      <c r="D64" s="7"/>
      <c r="E64" s="8">
        <f>E3*E62</f>
        <v>114767.76923076913</v>
      </c>
      <c r="F64" s="8">
        <f>F3*F62</f>
        <v>231859.5000000002</v>
      </c>
      <c r="G64" s="19">
        <f>G3*G62</f>
        <v>375396.23076923087</v>
      </c>
      <c r="H64" s="40"/>
    </row>
    <row r="65" spans="1:8">
      <c r="A65" s="62">
        <v>65</v>
      </c>
      <c r="B65" s="159"/>
      <c r="C65" s="160"/>
      <c r="D65" s="161"/>
      <c r="E65" s="162"/>
      <c r="F65" s="162"/>
      <c r="G65" s="163"/>
      <c r="H65" s="202"/>
    </row>
    <row r="66" spans="1:8">
      <c r="A66" s="62">
        <v>66</v>
      </c>
      <c r="B66" s="30" t="s">
        <v>23</v>
      </c>
      <c r="C66" s="14"/>
      <c r="D66" s="7"/>
      <c r="E66" s="8"/>
      <c r="F66" s="8"/>
      <c r="G66" s="19"/>
      <c r="H66" s="202"/>
    </row>
    <row r="67" spans="1:8">
      <c r="A67" s="62">
        <v>67</v>
      </c>
      <c r="B67" s="30"/>
      <c r="C67" s="15" t="s">
        <v>162</v>
      </c>
      <c r="D67" s="7"/>
      <c r="E67" s="8">
        <f>E43-E42-E26</f>
        <v>2605</v>
      </c>
      <c r="F67" s="8">
        <f>F43-F42-F26</f>
        <v>2927.5</v>
      </c>
      <c r="G67" s="19">
        <f>G43-G42-G26</f>
        <v>3207</v>
      </c>
      <c r="H67" s="202"/>
    </row>
    <row r="68" spans="1:8">
      <c r="A68" s="62">
        <v>68</v>
      </c>
      <c r="B68" s="28"/>
      <c r="C68" s="15" t="s">
        <v>163</v>
      </c>
      <c r="D68" s="7"/>
      <c r="E68" s="8">
        <f>E67+E26</f>
        <v>3295</v>
      </c>
      <c r="F68" s="8">
        <f>F67+F26</f>
        <v>3617.5</v>
      </c>
      <c r="G68" s="19">
        <f>G67+G26</f>
        <v>3897</v>
      </c>
      <c r="H68" s="202"/>
    </row>
    <row r="69" spans="1:8">
      <c r="A69" s="62">
        <v>69</v>
      </c>
      <c r="B69" s="28"/>
      <c r="C69" s="15" t="s">
        <v>165</v>
      </c>
      <c r="D69" s="7"/>
      <c r="E69" s="8">
        <f>E68+E42</f>
        <v>3373.1750000000002</v>
      </c>
      <c r="F69" s="8">
        <f>F68+F42</f>
        <v>3703.1374999999998</v>
      </c>
      <c r="G69" s="19">
        <f>G68+G42</f>
        <v>3989.0250000000001</v>
      </c>
      <c r="H69" s="202"/>
    </row>
    <row r="70" spans="1:8">
      <c r="A70" s="62">
        <v>70</v>
      </c>
      <c r="B70" s="28"/>
      <c r="C70" s="15" t="s">
        <v>166</v>
      </c>
      <c r="D70" s="2"/>
      <c r="E70" s="10">
        <f>E69+(E59-E46-E52-E56)</f>
        <v>3557.105</v>
      </c>
      <c r="F70" s="10">
        <f>F69+(F59-F46-F52-F56)</f>
        <v>3894.5674999999997</v>
      </c>
      <c r="G70" s="21">
        <f>G69+(G59-G46-G52-G56)</f>
        <v>4187.9549999999999</v>
      </c>
      <c r="H70" s="237"/>
    </row>
    <row r="71" spans="1:8">
      <c r="A71" s="62">
        <v>71</v>
      </c>
      <c r="B71" s="28"/>
      <c r="C71" s="15" t="s">
        <v>164</v>
      </c>
      <c r="D71" s="2"/>
      <c r="E71" s="10">
        <f>E70+E46+E52</f>
        <v>3734.105</v>
      </c>
      <c r="F71" s="10">
        <f>F70+F46+F52</f>
        <v>4071.5674999999997</v>
      </c>
      <c r="G71" s="21">
        <f>G70+G46+G52</f>
        <v>4364.9549999999999</v>
      </c>
      <c r="H71" s="237"/>
    </row>
    <row r="72" spans="1:8">
      <c r="A72" s="62">
        <v>72</v>
      </c>
      <c r="B72" s="28"/>
      <c r="C72" s="15" t="s">
        <v>167</v>
      </c>
      <c r="D72" s="2"/>
      <c r="E72" s="10">
        <f>E71+E56</f>
        <v>3734.105</v>
      </c>
      <c r="F72" s="10">
        <f>F71+F56</f>
        <v>4071.5674999999997</v>
      </c>
      <c r="G72" s="21">
        <f>G71+G56</f>
        <v>4364.9549999999999</v>
      </c>
      <c r="H72" s="203"/>
    </row>
    <row r="73" spans="1:8">
      <c r="A73" s="62">
        <v>73</v>
      </c>
      <c r="B73" s="159"/>
      <c r="C73" s="164"/>
      <c r="D73" s="165"/>
      <c r="E73" s="165"/>
      <c r="F73" s="165"/>
      <c r="G73" s="166"/>
      <c r="H73" s="195"/>
    </row>
    <row r="74" spans="1:8">
      <c r="A74" s="62">
        <v>74</v>
      </c>
      <c r="B74" s="30" t="s">
        <v>25</v>
      </c>
      <c r="C74" s="14"/>
      <c r="D74" s="2"/>
      <c r="E74" s="2"/>
      <c r="F74" s="2"/>
      <c r="G74" s="16"/>
      <c r="H74" s="195"/>
    </row>
    <row r="75" spans="1:8">
      <c r="A75" s="62">
        <v>75</v>
      </c>
      <c r="B75" s="28"/>
      <c r="C75" s="15" t="s">
        <v>162</v>
      </c>
      <c r="D75" s="2"/>
      <c r="E75" s="11">
        <f>E67/(E$2/100)</f>
        <v>12.404761904761905</v>
      </c>
      <c r="F75" s="11">
        <f t="shared" ref="F75:G75" si="4">F67/(F$2/100)</f>
        <v>12.197916666666666</v>
      </c>
      <c r="G75" s="22">
        <f t="shared" si="4"/>
        <v>11.877777777777778</v>
      </c>
      <c r="H75" s="204"/>
    </row>
    <row r="76" spans="1:8">
      <c r="A76" s="62">
        <v>76</v>
      </c>
      <c r="B76" s="28"/>
      <c r="C76" s="15" t="s">
        <v>163</v>
      </c>
      <c r="D76" s="2"/>
      <c r="E76" s="11">
        <f t="shared" ref="E76:G80" si="5">E68/(E$2/100)</f>
        <v>15.69047619047619</v>
      </c>
      <c r="F76" s="11">
        <f t="shared" si="5"/>
        <v>15.072916666666666</v>
      </c>
      <c r="G76" s="22">
        <f t="shared" si="5"/>
        <v>14.433333333333334</v>
      </c>
      <c r="H76" s="204"/>
    </row>
    <row r="77" spans="1:8">
      <c r="A77" s="62">
        <v>77</v>
      </c>
      <c r="B77" s="28"/>
      <c r="C77" s="15" t="s">
        <v>165</v>
      </c>
      <c r="D77" s="2"/>
      <c r="E77" s="11">
        <f t="shared" si="5"/>
        <v>16.062738095238096</v>
      </c>
      <c r="F77" s="11">
        <f t="shared" si="5"/>
        <v>15.429739583333333</v>
      </c>
      <c r="G77" s="22">
        <f t="shared" si="5"/>
        <v>14.774166666666668</v>
      </c>
      <c r="H77" s="204"/>
    </row>
    <row r="78" spans="1:8">
      <c r="A78" s="62">
        <v>78</v>
      </c>
      <c r="B78" s="28"/>
      <c r="C78" s="15" t="s">
        <v>166</v>
      </c>
      <c r="D78" s="2"/>
      <c r="E78" s="11">
        <f t="shared" si="5"/>
        <v>16.938595238095239</v>
      </c>
      <c r="F78" s="11">
        <f t="shared" si="5"/>
        <v>16.227364583333333</v>
      </c>
      <c r="G78" s="22">
        <f t="shared" si="5"/>
        <v>15.510944444444444</v>
      </c>
      <c r="H78" s="204"/>
    </row>
    <row r="79" spans="1:8">
      <c r="A79" s="62">
        <v>79</v>
      </c>
      <c r="B79" s="28"/>
      <c r="C79" s="15" t="s">
        <v>164</v>
      </c>
      <c r="D79" s="2"/>
      <c r="E79" s="11">
        <f t="shared" si="5"/>
        <v>17.781452380952381</v>
      </c>
      <c r="F79" s="11">
        <f t="shared" si="5"/>
        <v>16.96486458333333</v>
      </c>
      <c r="G79" s="22">
        <f t="shared" si="5"/>
        <v>16.166499999999999</v>
      </c>
      <c r="H79" s="204"/>
    </row>
    <row r="80" spans="1:8">
      <c r="A80" s="62">
        <v>80</v>
      </c>
      <c r="B80" s="28"/>
      <c r="C80" s="15" t="s">
        <v>167</v>
      </c>
      <c r="D80" s="2"/>
      <c r="E80" s="11">
        <f t="shared" si="5"/>
        <v>17.781452380952381</v>
      </c>
      <c r="F80" s="11">
        <f t="shared" si="5"/>
        <v>16.96486458333333</v>
      </c>
      <c r="G80" s="22">
        <f t="shared" si="5"/>
        <v>16.166499999999999</v>
      </c>
      <c r="H80" s="204"/>
    </row>
    <row r="81" spans="1:8">
      <c r="A81" s="62">
        <v>81</v>
      </c>
      <c r="B81" s="159"/>
      <c r="C81" s="164"/>
      <c r="D81" s="165"/>
      <c r="E81" s="165"/>
      <c r="F81" s="165"/>
      <c r="G81" s="166"/>
      <c r="H81" s="195"/>
    </row>
    <row r="82" spans="1:8" ht="29.15" customHeight="1">
      <c r="A82" s="62">
        <v>82</v>
      </c>
      <c r="B82" s="384" t="s">
        <v>36</v>
      </c>
      <c r="C82" s="385"/>
      <c r="D82" s="61" t="s">
        <v>34</v>
      </c>
      <c r="E82" s="232">
        <f>E22/E4</f>
        <v>230.90497737556561</v>
      </c>
      <c r="F82" s="232">
        <f>F22/F4</f>
        <v>262.23529411764707</v>
      </c>
      <c r="G82" s="233">
        <f>G22/G4</f>
        <v>293.56561085972851</v>
      </c>
      <c r="H82" s="195"/>
    </row>
    <row r="83" spans="1:8">
      <c r="A83" s="62">
        <v>83</v>
      </c>
      <c r="B83" s="28"/>
      <c r="C83" s="15" t="s">
        <v>162</v>
      </c>
      <c r="D83" s="12"/>
      <c r="E83" s="11">
        <f>E67/E$82</f>
        <v>11.281697040956301</v>
      </c>
      <c r="F83" s="11">
        <f t="shared" ref="F83:G83" si="6">F67/F$82</f>
        <v>11.163638402871243</v>
      </c>
      <c r="G83" s="22">
        <f t="shared" si="6"/>
        <v>10.92430407842412</v>
      </c>
      <c r="H83" s="195"/>
    </row>
    <row r="84" spans="1:8">
      <c r="A84" s="62">
        <v>84</v>
      </c>
      <c r="B84" s="28"/>
      <c r="C84" s="15" t="s">
        <v>163</v>
      </c>
      <c r="D84" s="12"/>
      <c r="E84" s="11">
        <f t="shared" ref="E84:G88" si="7">E68/E$82</f>
        <v>14.269939251420734</v>
      </c>
      <c r="F84" s="11">
        <f t="shared" si="7"/>
        <v>13.794863167339614</v>
      </c>
      <c r="G84" s="22">
        <f t="shared" si="7"/>
        <v>13.274715620086932</v>
      </c>
      <c r="H84" s="195"/>
    </row>
    <row r="85" spans="1:8">
      <c r="A85" s="62">
        <v>85</v>
      </c>
      <c r="B85" s="28"/>
      <c r="C85" s="15" t="s">
        <v>165</v>
      </c>
      <c r="D85" s="12"/>
      <c r="E85" s="11">
        <f t="shared" si="7"/>
        <v>14.608498432294729</v>
      </c>
      <c r="F85" s="11">
        <f t="shared" si="7"/>
        <v>14.12143057424854</v>
      </c>
      <c r="G85" s="22">
        <f t="shared" si="7"/>
        <v>13.588188985480441</v>
      </c>
      <c r="H85" s="195"/>
    </row>
    <row r="86" spans="1:8">
      <c r="A86" s="62">
        <v>86</v>
      </c>
      <c r="B86" s="28"/>
      <c r="C86" s="15" t="s">
        <v>166</v>
      </c>
      <c r="D86" s="12"/>
      <c r="E86" s="11">
        <f t="shared" si="7"/>
        <v>15.405059866745052</v>
      </c>
      <c r="F86" s="11">
        <f t="shared" si="7"/>
        <v>14.851423844773439</v>
      </c>
      <c r="G86" s="22">
        <f t="shared" si="7"/>
        <v>14.265822852122445</v>
      </c>
      <c r="H86" s="195"/>
    </row>
    <row r="87" spans="1:8">
      <c r="A87" s="62">
        <v>87</v>
      </c>
      <c r="B87" s="28"/>
      <c r="C87" s="15" t="s">
        <v>164</v>
      </c>
      <c r="D87" s="12"/>
      <c r="E87" s="11">
        <f t="shared" si="7"/>
        <v>16.171608955516362</v>
      </c>
      <c r="F87" s="11">
        <f t="shared" si="7"/>
        <v>15.526390197397934</v>
      </c>
      <c r="G87" s="22">
        <f t="shared" si="7"/>
        <v>14.868754508462036</v>
      </c>
      <c r="H87" s="195"/>
    </row>
    <row r="88" spans="1:8" ht="15" thickBot="1">
      <c r="A88" s="62">
        <v>88</v>
      </c>
      <c r="B88" s="31"/>
      <c r="C88" s="15" t="s">
        <v>167</v>
      </c>
      <c r="D88" s="12"/>
      <c r="E88" s="11">
        <f t="shared" si="7"/>
        <v>16.171608955516362</v>
      </c>
      <c r="F88" s="11">
        <f t="shared" si="7"/>
        <v>15.526390197397934</v>
      </c>
      <c r="G88" s="22">
        <f t="shared" si="7"/>
        <v>14.868754508462036</v>
      </c>
      <c r="H88" s="195"/>
    </row>
    <row r="89" spans="1:8" ht="15" thickBot="1">
      <c r="A89" s="62">
        <v>89</v>
      </c>
      <c r="B89" s="168"/>
      <c r="C89" s="167"/>
      <c r="D89" s="301"/>
      <c r="E89" s="167"/>
      <c r="F89" s="167"/>
      <c r="G89" s="169"/>
      <c r="H89" s="116"/>
    </row>
    <row r="90" spans="1:8">
      <c r="A90" s="62">
        <v>90</v>
      </c>
      <c r="B90" s="63" t="s">
        <v>43</v>
      </c>
      <c r="C90" s="64"/>
      <c r="D90" s="65"/>
      <c r="E90" s="66"/>
      <c r="F90" s="66"/>
      <c r="G90" s="70"/>
      <c r="H90" s="116"/>
    </row>
    <row r="91" spans="1:8">
      <c r="A91" s="62">
        <v>91</v>
      </c>
      <c r="B91" s="67"/>
      <c r="C91" s="68" t="s">
        <v>39</v>
      </c>
      <c r="D91" s="2"/>
      <c r="E91" s="11">
        <f>E80</f>
        <v>17.781452380952381</v>
      </c>
      <c r="F91" s="11">
        <f t="shared" ref="F91:G91" si="8">F80</f>
        <v>16.96486458333333</v>
      </c>
      <c r="G91" s="22">
        <f t="shared" si="8"/>
        <v>16.166499999999999</v>
      </c>
      <c r="H91" s="191"/>
    </row>
    <row r="92" spans="1:8">
      <c r="A92" s="62">
        <v>92</v>
      </c>
      <c r="B92" s="67"/>
      <c r="C92" s="68" t="s">
        <v>34</v>
      </c>
      <c r="D92" s="2"/>
      <c r="E92" s="11">
        <f>E88</f>
        <v>16.171608955516362</v>
      </c>
      <c r="F92" s="11">
        <f t="shared" ref="F92:G92" si="9">F88</f>
        <v>15.526390197397934</v>
      </c>
      <c r="G92" s="22">
        <f t="shared" si="9"/>
        <v>14.868754508462036</v>
      </c>
      <c r="H92" s="191"/>
    </row>
    <row r="93" spans="1:8" ht="15" thickBot="1">
      <c r="A93" s="62">
        <v>93</v>
      </c>
      <c r="B93" s="23"/>
      <c r="C93" s="69" t="s">
        <v>38</v>
      </c>
      <c r="D93" s="32"/>
      <c r="E93" s="24">
        <f>((E43+E59)-E21)/(E2/100)</f>
        <v>17.781452380952381</v>
      </c>
      <c r="F93" s="24">
        <f>((F43+F59)-F21)/(F2/100)</f>
        <v>16.96486458333333</v>
      </c>
      <c r="G93" s="25">
        <f>((G43+G59)-G21)/(G2/100)</f>
        <v>16.166499999999999</v>
      </c>
      <c r="H93" s="191"/>
    </row>
    <row r="94" spans="1:8">
      <c r="H94" s="116"/>
    </row>
    <row r="95" spans="1:8" ht="33.75" customHeight="1">
      <c r="B95" s="241">
        <v>1</v>
      </c>
      <c r="C95" s="388" t="s">
        <v>198</v>
      </c>
      <c r="D95" s="388"/>
      <c r="E95" s="388"/>
      <c r="F95" s="388"/>
      <c r="G95" s="388"/>
      <c r="H95" s="116"/>
    </row>
    <row r="96" spans="1:8" ht="33.75" customHeight="1">
      <c r="B96" s="241">
        <v>2</v>
      </c>
      <c r="C96" s="388" t="s">
        <v>201</v>
      </c>
      <c r="D96" s="388"/>
      <c r="E96" s="388"/>
      <c r="F96" s="388"/>
      <c r="G96" s="388"/>
      <c r="H96" s="116"/>
    </row>
    <row r="97" spans="2:8" ht="16.5" customHeight="1">
      <c r="B97" s="241">
        <v>3</v>
      </c>
      <c r="C97" s="388" t="s">
        <v>216</v>
      </c>
      <c r="D97" s="388"/>
      <c r="E97" s="388"/>
      <c r="F97" s="388"/>
      <c r="G97" s="388"/>
      <c r="H97" s="116"/>
    </row>
    <row r="98" spans="2:8" ht="54" customHeight="1">
      <c r="B98" s="241">
        <v>4</v>
      </c>
      <c r="C98" s="388" t="s">
        <v>206</v>
      </c>
      <c r="D98" s="388"/>
      <c r="E98" s="388"/>
      <c r="F98" s="388"/>
      <c r="G98" s="388"/>
      <c r="H98" s="116"/>
    </row>
    <row r="99" spans="2:8" ht="43.5" customHeight="1">
      <c r="B99" s="241">
        <v>5</v>
      </c>
      <c r="C99" s="388" t="s">
        <v>203</v>
      </c>
      <c r="D99" s="388"/>
      <c r="E99" s="388"/>
      <c r="F99" s="388"/>
      <c r="G99" s="388"/>
      <c r="H99" s="116"/>
    </row>
    <row r="100" spans="2:8" ht="105.75" customHeight="1">
      <c r="B100" s="241">
        <v>6</v>
      </c>
      <c r="C100" s="383" t="s">
        <v>208</v>
      </c>
      <c r="D100" s="383"/>
      <c r="E100" s="383"/>
      <c r="F100" s="383"/>
      <c r="G100" s="383"/>
      <c r="H100" s="116"/>
    </row>
    <row r="101" spans="2:8" ht="44.25" customHeight="1">
      <c r="B101" s="241">
        <v>7</v>
      </c>
      <c r="C101" s="383" t="s">
        <v>213</v>
      </c>
      <c r="D101" s="383"/>
      <c r="E101" s="383"/>
      <c r="F101" s="383"/>
      <c r="G101" s="383"/>
      <c r="H101" s="116"/>
    </row>
    <row r="102" spans="2:8">
      <c r="C102" s="116"/>
      <c r="D102" s="116"/>
      <c r="E102" s="116"/>
      <c r="F102" s="116"/>
      <c r="G102" s="116"/>
      <c r="H102" s="116"/>
    </row>
    <row r="103" spans="2:8">
      <c r="C103" s="116"/>
      <c r="D103" s="116"/>
      <c r="E103" s="116"/>
      <c r="F103" s="116"/>
      <c r="G103" s="116"/>
      <c r="H103" s="116"/>
    </row>
    <row r="104" spans="2:8">
      <c r="C104" s="116"/>
      <c r="D104" s="116"/>
      <c r="E104" s="116"/>
      <c r="F104" s="192"/>
      <c r="G104" s="193"/>
      <c r="H104" s="192"/>
    </row>
    <row r="105" spans="2:8">
      <c r="C105" s="116"/>
      <c r="D105" s="116"/>
      <c r="E105" s="116"/>
      <c r="F105" s="116"/>
      <c r="G105" s="116"/>
      <c r="H105" s="116"/>
    </row>
    <row r="106" spans="2:8">
      <c r="C106" s="116"/>
      <c r="D106" s="116"/>
      <c r="E106" s="116"/>
      <c r="F106" s="116"/>
      <c r="G106" s="116"/>
      <c r="H106" s="116"/>
    </row>
    <row r="107" spans="2:8">
      <c r="C107" s="116"/>
      <c r="D107" s="116"/>
      <c r="E107" s="194"/>
      <c r="F107" s="116"/>
      <c r="G107" s="116"/>
      <c r="H107" s="116"/>
    </row>
    <row r="108" spans="2:8">
      <c r="C108" s="116"/>
      <c r="D108" s="116"/>
      <c r="E108" s="116"/>
      <c r="F108" s="116"/>
      <c r="G108" s="116"/>
      <c r="H108" s="116"/>
    </row>
    <row r="109" spans="2:8">
      <c r="C109" s="116"/>
      <c r="D109" s="116"/>
      <c r="E109" s="116"/>
      <c r="F109" s="116"/>
      <c r="G109" s="116"/>
      <c r="H109" s="116"/>
    </row>
    <row r="110" spans="2:8">
      <c r="C110" s="116"/>
      <c r="D110" s="116"/>
      <c r="E110" s="116"/>
      <c r="F110" s="116"/>
      <c r="G110" s="116"/>
      <c r="H110" s="116"/>
    </row>
    <row r="111" spans="2:8">
      <c r="C111" s="116"/>
      <c r="D111" s="116"/>
      <c r="E111" s="116"/>
      <c r="F111" s="116"/>
      <c r="G111" s="116"/>
      <c r="H111" s="116"/>
    </row>
    <row r="112" spans="2:8">
      <c r="C112" s="116"/>
      <c r="D112" s="116"/>
      <c r="E112" s="116"/>
      <c r="F112" s="116"/>
      <c r="G112" s="116"/>
      <c r="H112" s="116"/>
    </row>
  </sheetData>
  <mergeCells count="9">
    <mergeCell ref="C100:G100"/>
    <mergeCell ref="C101:G101"/>
    <mergeCell ref="B82:C82"/>
    <mergeCell ref="B1:G1"/>
    <mergeCell ref="C95:G95"/>
    <mergeCell ref="C99:G99"/>
    <mergeCell ref="C97:G97"/>
    <mergeCell ref="C96:G96"/>
    <mergeCell ref="C98:G9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selection sqref="A1:N1"/>
    </sheetView>
  </sheetViews>
  <sheetFormatPr defaultRowHeight="14.5"/>
  <cols>
    <col min="1" max="1" width="29.54296875" customWidth="1"/>
    <col min="2" max="2" width="11.1796875" bestFit="1" customWidth="1"/>
    <col min="3" max="3" width="13.453125" customWidth="1"/>
    <col min="4" max="4" width="15" customWidth="1"/>
    <col min="5" max="5" width="10.453125" customWidth="1"/>
    <col min="6" max="6" width="10.54296875" customWidth="1"/>
    <col min="7" max="7" width="8.7265625" customWidth="1"/>
    <col min="8" max="8" width="12.81640625" customWidth="1"/>
    <col min="9" max="9" width="11.453125" customWidth="1"/>
    <col min="10" max="10" width="10.26953125" customWidth="1"/>
    <col min="11" max="11" width="10.54296875" customWidth="1"/>
    <col min="12" max="12" width="10.1796875" customWidth="1"/>
    <col min="13" max="13" width="10.1796875" bestFit="1" customWidth="1"/>
  </cols>
  <sheetData>
    <row r="1" spans="1:14" ht="81.75" customHeight="1">
      <c r="A1" s="389" t="s">
        <v>233</v>
      </c>
      <c r="B1" s="389"/>
      <c r="C1" s="389"/>
      <c r="D1" s="389"/>
      <c r="E1" s="389"/>
      <c r="F1" s="389"/>
      <c r="G1" s="389"/>
      <c r="H1" s="389"/>
      <c r="I1" s="389"/>
      <c r="J1" s="389"/>
      <c r="K1" s="389"/>
      <c r="L1" s="389"/>
      <c r="M1" s="389"/>
      <c r="N1" s="389"/>
    </row>
    <row r="2" spans="1:14" ht="14.5" customHeight="1">
      <c r="N2" s="393" t="s">
        <v>147</v>
      </c>
    </row>
    <row r="3" spans="1:14" ht="14.5" customHeight="1">
      <c r="A3" s="120" t="s">
        <v>234</v>
      </c>
      <c r="B3" s="120"/>
      <c r="C3" s="120"/>
      <c r="J3" s="397" t="s">
        <v>141</v>
      </c>
      <c r="K3" s="398"/>
      <c r="L3" s="399"/>
      <c r="N3" s="394"/>
    </row>
    <row r="4" spans="1:14">
      <c r="J4" s="400"/>
      <c r="K4" s="401"/>
      <c r="L4" s="402"/>
      <c r="N4" s="394"/>
    </row>
    <row r="5" spans="1:14">
      <c r="A5" s="238" t="s">
        <v>230</v>
      </c>
      <c r="B5" s="238"/>
      <c r="C5" s="238"/>
      <c r="D5" s="238"/>
      <c r="E5" s="238"/>
      <c r="F5" s="367"/>
      <c r="G5" s="367"/>
      <c r="H5" s="37"/>
      <c r="I5" s="129" t="s">
        <v>146</v>
      </c>
      <c r="J5" s="128">
        <v>0.01</v>
      </c>
      <c r="K5" s="128">
        <v>5.0000000000000001E-3</v>
      </c>
      <c r="L5" s="128">
        <v>0.01</v>
      </c>
      <c r="N5" s="394"/>
    </row>
    <row r="6" spans="1:14">
      <c r="G6" s="37"/>
      <c r="H6" s="130"/>
      <c r="I6" s="127">
        <v>0.06</v>
      </c>
      <c r="J6" s="123">
        <v>0</v>
      </c>
      <c r="K6" s="123">
        <v>5.0000000000000001E-3</v>
      </c>
      <c r="L6" s="123">
        <v>0.01</v>
      </c>
      <c r="N6" s="178">
        <f>'Enterprise Budget'!F3</f>
        <v>600</v>
      </c>
    </row>
    <row r="7" spans="1:14" s="125" customFormat="1" ht="107.15" customHeight="1">
      <c r="A7" s="126" t="s">
        <v>142</v>
      </c>
      <c r="B7" s="131" t="s">
        <v>139</v>
      </c>
      <c r="C7" s="131" t="s">
        <v>179</v>
      </c>
      <c r="D7" s="421" t="s">
        <v>177</v>
      </c>
      <c r="E7" s="131" t="s">
        <v>152</v>
      </c>
      <c r="F7" s="131" t="s">
        <v>153</v>
      </c>
      <c r="G7" s="124"/>
      <c r="H7" s="122" t="s">
        <v>148</v>
      </c>
      <c r="I7" s="132" t="s">
        <v>149</v>
      </c>
      <c r="J7" s="132" t="s">
        <v>150</v>
      </c>
      <c r="K7" s="132" t="s">
        <v>151</v>
      </c>
      <c r="L7" s="132" t="s">
        <v>175</v>
      </c>
      <c r="M7" s="131" t="s">
        <v>111</v>
      </c>
      <c r="N7" s="131" t="s">
        <v>140</v>
      </c>
    </row>
    <row r="8" spans="1:14" s="125" customFormat="1" ht="18.649999999999999" customHeight="1">
      <c r="A8" s="196" t="s">
        <v>210</v>
      </c>
      <c r="B8" s="131"/>
      <c r="C8" s="131"/>
      <c r="D8" s="131"/>
      <c r="E8" s="131"/>
      <c r="F8" s="131"/>
      <c r="G8" s="124"/>
      <c r="H8" s="122"/>
      <c r="I8" s="132"/>
      <c r="J8" s="132"/>
      <c r="K8" s="132"/>
      <c r="L8" s="132"/>
      <c r="M8" s="131"/>
      <c r="N8" s="131"/>
    </row>
    <row r="9" spans="1:14">
      <c r="A9" s="54" t="s">
        <v>112</v>
      </c>
      <c r="B9" s="138">
        <v>900000</v>
      </c>
      <c r="C9" s="189">
        <v>1</v>
      </c>
      <c r="D9" s="199">
        <v>0.3</v>
      </c>
      <c r="E9" s="54">
        <v>20</v>
      </c>
      <c r="F9" s="4">
        <f>(B9+(B9*D9))/2</f>
        <v>585000</v>
      </c>
      <c r="G9" s="121"/>
      <c r="H9" s="4">
        <f>IF(B9&gt;0,C9*(B9-(B9*D9))/E9,0)</f>
        <v>31500</v>
      </c>
      <c r="I9" s="4">
        <f>F9*$I$6*C9</f>
        <v>35100</v>
      </c>
      <c r="J9" s="4">
        <f>C9*F9*$J$6</f>
        <v>0</v>
      </c>
      <c r="K9" s="4">
        <f>C9*F9*$K$6</f>
        <v>2925</v>
      </c>
      <c r="L9" s="201"/>
      <c r="M9" s="4">
        <f t="shared" ref="M9:M21" si="0">SUM(H9:L9)</f>
        <v>69525</v>
      </c>
      <c r="N9" s="4">
        <f>IF(B9&gt;0,M9/$N$6,0)</f>
        <v>115.875</v>
      </c>
    </row>
    <row r="10" spans="1:14">
      <c r="A10" s="54" t="s">
        <v>113</v>
      </c>
      <c r="B10" s="138">
        <v>200000</v>
      </c>
      <c r="C10" s="189">
        <v>1</v>
      </c>
      <c r="D10" s="199">
        <v>0.3</v>
      </c>
      <c r="E10" s="54">
        <v>20</v>
      </c>
      <c r="F10" s="4">
        <f>(B10+(B10*D10))/2</f>
        <v>130000</v>
      </c>
      <c r="G10" s="121"/>
      <c r="H10" s="4">
        <f>IF(B10&gt;0,C10*(B10-(B10*D10))/E10,0)</f>
        <v>7000</v>
      </c>
      <c r="I10" s="4">
        <f>F10*$I$6*C10</f>
        <v>7800</v>
      </c>
      <c r="J10" s="4">
        <f>C10*F10*$J$6</f>
        <v>0</v>
      </c>
      <c r="K10" s="4">
        <f>C10*F10*$K$6</f>
        <v>650</v>
      </c>
      <c r="L10" s="201"/>
      <c r="M10" s="4">
        <f t="shared" si="0"/>
        <v>15450</v>
      </c>
      <c r="N10" s="4">
        <f>IF(B10&gt;0,M10/$N$6,0)</f>
        <v>25.75</v>
      </c>
    </row>
    <row r="11" spans="1:14">
      <c r="A11" s="54"/>
      <c r="B11" s="138"/>
      <c r="C11" s="189"/>
      <c r="D11" s="199">
        <v>0.3</v>
      </c>
      <c r="E11" s="54"/>
      <c r="F11" s="4">
        <f>(B11+(B11*D11))/2</f>
        <v>0</v>
      </c>
      <c r="G11" s="121"/>
      <c r="H11" s="4">
        <f>IF(B11&gt;0,C11*(B11-(B11*D11))/E11,0)</f>
        <v>0</v>
      </c>
      <c r="I11" s="4">
        <f>F11*$I$6*C11</f>
        <v>0</v>
      </c>
      <c r="J11" s="4">
        <f>C11*F11*$J$6</f>
        <v>0</v>
      </c>
      <c r="K11" s="4">
        <f>C11*F11*$K$6</f>
        <v>0</v>
      </c>
      <c r="L11" s="201"/>
      <c r="M11" s="4">
        <f t="shared" si="0"/>
        <v>0</v>
      </c>
      <c r="N11" s="4">
        <f>IF(B11&gt;0,M11/$N$6,0)</f>
        <v>0</v>
      </c>
    </row>
    <row r="12" spans="1:14">
      <c r="A12" s="54" t="s">
        <v>114</v>
      </c>
      <c r="B12" s="138">
        <v>38000</v>
      </c>
      <c r="C12" s="189">
        <v>0.8</v>
      </c>
      <c r="D12" s="199">
        <v>0.3</v>
      </c>
      <c r="E12" s="54">
        <v>20</v>
      </c>
      <c r="F12" s="4">
        <f>(B12+(B12*D12))/2</f>
        <v>24700</v>
      </c>
      <c r="G12" s="121"/>
      <c r="H12" s="4">
        <f>IF(B12&gt;0,C12*(B12-(B12*D12))/E12,0)</f>
        <v>1064</v>
      </c>
      <c r="I12" s="4">
        <f>F12*$I$6*C12</f>
        <v>1185.6000000000001</v>
      </c>
      <c r="J12" s="4">
        <f>C12*F12*$J$6</f>
        <v>0</v>
      </c>
      <c r="K12" s="4">
        <f>C12*F12*$K$6</f>
        <v>98.8</v>
      </c>
      <c r="L12" s="201"/>
      <c r="M12" s="4">
        <f t="shared" si="0"/>
        <v>2348.4000000000005</v>
      </c>
      <c r="N12" s="4">
        <f>IF(B12&gt;0,M12/$N$6,0)</f>
        <v>3.914000000000001</v>
      </c>
    </row>
    <row r="13" spans="1:14">
      <c r="A13" s="54" t="s">
        <v>115</v>
      </c>
      <c r="B13" s="138">
        <v>221700</v>
      </c>
      <c r="C13" s="189">
        <v>1</v>
      </c>
      <c r="D13" s="199">
        <v>0.3</v>
      </c>
      <c r="E13" s="54">
        <v>20</v>
      </c>
      <c r="F13" s="4">
        <f>(B13+(B13*D13))/2</f>
        <v>144105</v>
      </c>
      <c r="G13" s="121"/>
      <c r="H13" s="4">
        <f>IF(B13&gt;0,C13*(B13-(B13*D13))/E13,0)</f>
        <v>7759.5</v>
      </c>
      <c r="I13" s="4">
        <f>F13*$I$6*C13</f>
        <v>8646.2999999999993</v>
      </c>
      <c r="J13" s="4">
        <f>C13*F13*$J$6</f>
        <v>0</v>
      </c>
      <c r="K13" s="4">
        <f>C13*F13*$K$6</f>
        <v>720.52499999999998</v>
      </c>
      <c r="L13" s="201"/>
      <c r="M13" s="4">
        <f t="shared" si="0"/>
        <v>17126.325000000001</v>
      </c>
      <c r="N13" s="4">
        <f>IF(B13&gt;0,M13/$N$6,0)</f>
        <v>28.543875</v>
      </c>
    </row>
    <row r="14" spans="1:14">
      <c r="A14" s="54" t="s">
        <v>116</v>
      </c>
      <c r="B14" s="138">
        <v>42300</v>
      </c>
      <c r="C14" s="189">
        <v>0.8</v>
      </c>
      <c r="D14" s="199">
        <v>0.3</v>
      </c>
      <c r="E14" s="54">
        <v>20</v>
      </c>
      <c r="F14" s="4">
        <f>(B14+(B14*D14))/2</f>
        <v>27495</v>
      </c>
      <c r="G14" s="121"/>
      <c r="H14" s="4">
        <f>IF(B14&gt;0,C14*(B14-(B14*D14))/E14,0)</f>
        <v>1184.4000000000001</v>
      </c>
      <c r="I14" s="4">
        <f>F14*$I$6*C14</f>
        <v>1319.7600000000002</v>
      </c>
      <c r="J14" s="4">
        <f>C14*F14*$J$6</f>
        <v>0</v>
      </c>
      <c r="K14" s="4">
        <f>C14*F14*$K$6</f>
        <v>109.98</v>
      </c>
      <c r="L14" s="201"/>
      <c r="M14" s="4">
        <f t="shared" si="0"/>
        <v>2614.1400000000003</v>
      </c>
      <c r="N14" s="4">
        <f>IF(B14&gt;0,M14/$N$6,0)</f>
        <v>4.3569000000000004</v>
      </c>
    </row>
    <row r="15" spans="1:14">
      <c r="A15" s="139" t="s">
        <v>117</v>
      </c>
      <c r="B15" s="138">
        <v>7500</v>
      </c>
      <c r="C15" s="189">
        <v>0.8</v>
      </c>
      <c r="D15" s="199">
        <v>0.3</v>
      </c>
      <c r="E15" s="54">
        <v>20</v>
      </c>
      <c r="F15" s="4">
        <f>(B15+(B15*D15))/2</f>
        <v>4875</v>
      </c>
      <c r="G15" s="121"/>
      <c r="H15" s="4">
        <f>IF(B15&gt;0,C15*(B15-(B15*D15))/E15,0)</f>
        <v>210</v>
      </c>
      <c r="I15" s="4">
        <f>F15*$I$6*C15</f>
        <v>234</v>
      </c>
      <c r="J15" s="4">
        <f>C15*F15*$J$6</f>
        <v>0</v>
      </c>
      <c r="K15" s="4">
        <f>C15*F15*$K$6</f>
        <v>19.5</v>
      </c>
      <c r="L15" s="201"/>
      <c r="M15" s="4">
        <f t="shared" si="0"/>
        <v>463.5</v>
      </c>
      <c r="N15" s="4">
        <f>IF(B15&gt;0,M15/$N$6,0)</f>
        <v>0.77249999999999996</v>
      </c>
    </row>
    <row r="16" spans="1:14">
      <c r="A16" s="54" t="s">
        <v>118</v>
      </c>
      <c r="B16" s="138">
        <v>600000</v>
      </c>
      <c r="C16" s="189">
        <v>1</v>
      </c>
      <c r="D16" s="199">
        <v>0.3</v>
      </c>
      <c r="E16" s="54">
        <v>20</v>
      </c>
      <c r="F16" s="4">
        <f>(B16+(B16*D16))/2</f>
        <v>390000</v>
      </c>
      <c r="G16" s="121"/>
      <c r="H16" s="4">
        <f>IF(B16&gt;0,C16*(B16-(B16*D16))/E16,0)</f>
        <v>21000</v>
      </c>
      <c r="I16" s="4">
        <f>F16*$I$6*C16</f>
        <v>23400</v>
      </c>
      <c r="J16" s="4">
        <f>C16*F16*$J$6</f>
        <v>0</v>
      </c>
      <c r="K16" s="4">
        <f>C16*F16*$K$6</f>
        <v>1950</v>
      </c>
      <c r="L16" s="201"/>
      <c r="M16" s="4">
        <f t="shared" si="0"/>
        <v>46350</v>
      </c>
      <c r="N16" s="4">
        <f>IF(B16&gt;0,M16/$N$6,0)</f>
        <v>77.25</v>
      </c>
    </row>
    <row r="17" spans="1:14">
      <c r="A17" s="54" t="s">
        <v>119</v>
      </c>
      <c r="B17" s="138">
        <v>273600</v>
      </c>
      <c r="C17" s="189">
        <v>1</v>
      </c>
      <c r="D17" s="199">
        <v>0.3</v>
      </c>
      <c r="E17" s="54">
        <v>20</v>
      </c>
      <c r="F17" s="4">
        <f>(B17+(B17*D17))/2</f>
        <v>177840</v>
      </c>
      <c r="G17" s="121"/>
      <c r="H17" s="4">
        <f>IF(B17&gt;0,C17*(B17-(B17*D17))/E17,0)</f>
        <v>9576</v>
      </c>
      <c r="I17" s="4">
        <f>F17*$I$6*C17</f>
        <v>10670.4</v>
      </c>
      <c r="J17" s="4">
        <f>C17*F17*$J$6</f>
        <v>0</v>
      </c>
      <c r="K17" s="4">
        <f>C17*F17*$K$6</f>
        <v>889.2</v>
      </c>
      <c r="L17" s="201"/>
      <c r="M17" s="4">
        <f t="shared" si="0"/>
        <v>21135.600000000002</v>
      </c>
      <c r="N17" s="4">
        <f>IF(B17&gt;0,M17/$N$6,0)</f>
        <v>35.226000000000006</v>
      </c>
    </row>
    <row r="18" spans="1:14">
      <c r="A18" s="54"/>
      <c r="B18" s="138"/>
      <c r="C18" s="189"/>
      <c r="D18" s="199">
        <v>0.3</v>
      </c>
      <c r="E18" s="54"/>
      <c r="F18" s="4">
        <f>(B18+(B18*D18))/2</f>
        <v>0</v>
      </c>
      <c r="G18" s="121"/>
      <c r="H18" s="4">
        <f>IF(B18&gt;0,C18*(B18-(B18*D18))/E18,0)</f>
        <v>0</v>
      </c>
      <c r="I18" s="4">
        <f>F18*$I$6*C18</f>
        <v>0</v>
      </c>
      <c r="J18" s="4">
        <f>C18*F18*$J$6</f>
        <v>0</v>
      </c>
      <c r="K18" s="4">
        <f>C18*F18*$K$6</f>
        <v>0</v>
      </c>
      <c r="L18" s="201"/>
      <c r="M18" s="4">
        <f t="shared" si="0"/>
        <v>0</v>
      </c>
      <c r="N18" s="4">
        <f>IF(B18&gt;0,M18/$N$6,0)</f>
        <v>0</v>
      </c>
    </row>
    <row r="19" spans="1:14">
      <c r="A19" s="54"/>
      <c r="B19" s="138"/>
      <c r="C19" s="189"/>
      <c r="D19" s="199">
        <v>0.3</v>
      </c>
      <c r="E19" s="54"/>
      <c r="F19" s="4">
        <f>(B19+(B19*D19))/2</f>
        <v>0</v>
      </c>
      <c r="G19" s="121"/>
      <c r="H19" s="4">
        <f>IF(B19&gt;0,C19*(B19-(B19*D19))/E19,0)</f>
        <v>0</v>
      </c>
      <c r="I19" s="4">
        <f>F19*$I$6*C19</f>
        <v>0</v>
      </c>
      <c r="J19" s="4">
        <f>C19*F19*$J$6</f>
        <v>0</v>
      </c>
      <c r="K19" s="4">
        <f>C19*F19*$K$6</f>
        <v>0</v>
      </c>
      <c r="L19" s="201"/>
      <c r="M19" s="4">
        <f t="shared" si="0"/>
        <v>0</v>
      </c>
      <c r="N19" s="4">
        <f>IF(B19&gt;0,M19/$N$6,0)</f>
        <v>0</v>
      </c>
    </row>
    <row r="20" spans="1:14">
      <c r="A20" s="54"/>
      <c r="B20" s="138"/>
      <c r="C20" s="189"/>
      <c r="D20" s="199">
        <v>0.3</v>
      </c>
      <c r="E20" s="54"/>
      <c r="F20" s="4">
        <f>(B20+(B20*D20))/2</f>
        <v>0</v>
      </c>
      <c r="G20" s="121"/>
      <c r="H20" s="4">
        <f>IF(B20&gt;0,C20*(B20-(B20*D20))/E20,0)</f>
        <v>0</v>
      </c>
      <c r="I20" s="4">
        <f>F20*$I$6*C20</f>
        <v>0</v>
      </c>
      <c r="J20" s="4">
        <f>C20*F20*$J$6</f>
        <v>0</v>
      </c>
      <c r="K20" s="4">
        <f>C20*F20*$K$6</f>
        <v>0</v>
      </c>
      <c r="L20" s="201"/>
      <c r="M20" s="4">
        <f t="shared" si="0"/>
        <v>0</v>
      </c>
      <c r="N20" s="4">
        <f>IF(B20&gt;0,M20/$N$6,0)</f>
        <v>0</v>
      </c>
    </row>
    <row r="21" spans="1:14">
      <c r="A21" s="54"/>
      <c r="B21" s="138"/>
      <c r="C21" s="189"/>
      <c r="D21" s="199">
        <v>0.3</v>
      </c>
      <c r="E21" s="54"/>
      <c r="F21" s="4">
        <f>(B21+(B21*D21))/2</f>
        <v>0</v>
      </c>
      <c r="G21" s="121"/>
      <c r="H21" s="4">
        <f>IF(B21&gt;0,C21*(B21-(B21*D21))/E21,0)</f>
        <v>0</v>
      </c>
      <c r="I21" s="4">
        <f>F21*$I$6*C21</f>
        <v>0</v>
      </c>
      <c r="J21" s="4">
        <f>C21*F21*$J$6</f>
        <v>0</v>
      </c>
      <c r="K21" s="4">
        <f>C21*F21*$K$6</f>
        <v>0</v>
      </c>
      <c r="L21" s="201"/>
      <c r="M21" s="4">
        <f t="shared" si="0"/>
        <v>0</v>
      </c>
      <c r="N21" s="4">
        <f>IF(B21&gt;0,M21/$N$6,0)</f>
        <v>0</v>
      </c>
    </row>
    <row r="22" spans="1:14" ht="21">
      <c r="A22" s="197" t="s">
        <v>211</v>
      </c>
      <c r="B22" s="175"/>
      <c r="C22" s="198"/>
      <c r="D22" s="199"/>
      <c r="E22" s="174"/>
      <c r="F22" s="175"/>
      <c r="G22" s="200"/>
      <c r="H22" s="175"/>
      <c r="I22" s="175"/>
      <c r="J22" s="4"/>
      <c r="K22" s="4"/>
      <c r="L22" s="175"/>
      <c r="M22" s="175"/>
      <c r="N22" s="175"/>
    </row>
    <row r="23" spans="1:14">
      <c r="A23" s="54" t="s">
        <v>169</v>
      </c>
      <c r="B23" s="138">
        <v>75000</v>
      </c>
      <c r="C23" s="189">
        <v>0.75</v>
      </c>
      <c r="D23" s="123">
        <v>0.3</v>
      </c>
      <c r="E23" s="54">
        <v>10</v>
      </c>
      <c r="F23" s="4">
        <f>(B23+(B23*D23))/2</f>
        <v>48750</v>
      </c>
      <c r="G23" s="121"/>
      <c r="H23" s="4">
        <f>IF(B23&gt;0,C23*(B23-(B23*D23))/E23,0)</f>
        <v>3937.5</v>
      </c>
      <c r="I23" s="4">
        <f>F23*$I$6*C23</f>
        <v>2193.75</v>
      </c>
      <c r="J23" s="4">
        <f>C23*F23*$J$6</f>
        <v>0</v>
      </c>
      <c r="K23" s="4">
        <f>C23*F23*$K$6</f>
        <v>182.8125</v>
      </c>
      <c r="L23" s="4">
        <f>C23*F23*$L$6</f>
        <v>365.625</v>
      </c>
      <c r="M23" s="4">
        <f t="shared" ref="M23:M40" si="1">SUM(H23:L23)</f>
        <v>6679.6875</v>
      </c>
      <c r="N23" s="4">
        <f>IF(B23&gt;0,M23/$N$6,0)</f>
        <v>11.1328125</v>
      </c>
    </row>
    <row r="24" spans="1:14">
      <c r="A24" s="54" t="s">
        <v>120</v>
      </c>
      <c r="B24" s="138">
        <v>100000</v>
      </c>
      <c r="C24" s="189">
        <v>0.75</v>
      </c>
      <c r="D24" s="123">
        <v>0.3</v>
      </c>
      <c r="E24" s="54">
        <v>10</v>
      </c>
      <c r="F24" s="4">
        <f>(B24+(B24*D24))/2</f>
        <v>65000</v>
      </c>
      <c r="G24" s="121"/>
      <c r="H24" s="4">
        <f>IF(B24&gt;0,C24*(B24-(B24*D24))/E24,0)</f>
        <v>5250</v>
      </c>
      <c r="I24" s="4">
        <f>F24*$I$6*C24</f>
        <v>2925</v>
      </c>
      <c r="J24" s="4">
        <f>C24*F24*$J$6</f>
        <v>0</v>
      </c>
      <c r="K24" s="4">
        <f>C24*F24*$K$6</f>
        <v>243.75</v>
      </c>
      <c r="L24" s="4">
        <f>C24*F24*$L$6</f>
        <v>487.5</v>
      </c>
      <c r="M24" s="4">
        <f t="shared" si="1"/>
        <v>8906.25</v>
      </c>
      <c r="N24" s="4">
        <f>IF(B24&gt;0,M24/$N$6,0)</f>
        <v>14.84375</v>
      </c>
    </row>
    <row r="25" spans="1:14">
      <c r="A25" s="54" t="s">
        <v>121</v>
      </c>
      <c r="B25" s="138">
        <v>50000</v>
      </c>
      <c r="C25" s="189">
        <v>0.75</v>
      </c>
      <c r="D25" s="123">
        <v>0.3</v>
      </c>
      <c r="E25" s="54">
        <v>10</v>
      </c>
      <c r="F25" s="4">
        <f>(B25+(B25*D25))/2</f>
        <v>32500</v>
      </c>
      <c r="G25" s="121"/>
      <c r="H25" s="4">
        <f>IF(B25&gt;0,C25*(B25-(B25*D25))/E25,0)</f>
        <v>2625</v>
      </c>
      <c r="I25" s="4">
        <f>F25*$I$6*C25</f>
        <v>1462.5</v>
      </c>
      <c r="J25" s="4">
        <f>C25*F25*$J$6</f>
        <v>0</v>
      </c>
      <c r="K25" s="4">
        <f>C25*F25*$K$6</f>
        <v>121.875</v>
      </c>
      <c r="L25" s="4">
        <f>C25*F25*$L$6</f>
        <v>243.75</v>
      </c>
      <c r="M25" s="4">
        <f t="shared" si="1"/>
        <v>4453.125</v>
      </c>
      <c r="N25" s="4">
        <f>IF(B25&gt;0,M25/$N$6,0)</f>
        <v>7.421875</v>
      </c>
    </row>
    <row r="26" spans="1:14">
      <c r="A26" s="54" t="s">
        <v>122</v>
      </c>
      <c r="B26" s="138">
        <v>250000</v>
      </c>
      <c r="C26" s="189">
        <v>0.75</v>
      </c>
      <c r="D26" s="123">
        <v>0.3</v>
      </c>
      <c r="E26" s="54">
        <v>10</v>
      </c>
      <c r="F26" s="4">
        <f>(B26+(B26*D26))/2</f>
        <v>162500</v>
      </c>
      <c r="G26" s="121"/>
      <c r="H26" s="4">
        <f>IF(B26&gt;0,C26*(B26-(B26*D26))/E26,0)</f>
        <v>13125</v>
      </c>
      <c r="I26" s="4">
        <f>F26*$I$6*C26</f>
        <v>7312.5</v>
      </c>
      <c r="J26" s="4">
        <f>C26*F26*$J$6</f>
        <v>0</v>
      </c>
      <c r="K26" s="4">
        <f>C26*F26*$K$6</f>
        <v>609.375</v>
      </c>
      <c r="L26" s="4">
        <f>C26*F26*$L$6</f>
        <v>1218.75</v>
      </c>
      <c r="M26" s="4">
        <f t="shared" si="1"/>
        <v>22265.625</v>
      </c>
      <c r="N26" s="4">
        <f>IF(B26&gt;0,M26/$N$6,0)</f>
        <v>37.109375</v>
      </c>
    </row>
    <row r="27" spans="1:14">
      <c r="A27" s="54" t="s">
        <v>123</v>
      </c>
      <c r="B27" s="138">
        <v>30000</v>
      </c>
      <c r="C27" s="189">
        <v>0.6</v>
      </c>
      <c r="D27" s="123">
        <v>0.3</v>
      </c>
      <c r="E27" s="54">
        <v>10</v>
      </c>
      <c r="F27" s="4">
        <f>(B27+(B27*D27))/2</f>
        <v>19500</v>
      </c>
      <c r="G27" s="121"/>
      <c r="H27" s="4">
        <f>IF(B27&gt;0,C27*(B27-(B27*D27))/E27,0)</f>
        <v>1260</v>
      </c>
      <c r="I27" s="4">
        <f>F27*$I$6*C27</f>
        <v>702</v>
      </c>
      <c r="J27" s="4">
        <f>C27*F27*$J$6</f>
        <v>0</v>
      </c>
      <c r="K27" s="4">
        <f>C27*F27*$K$6</f>
        <v>58.5</v>
      </c>
      <c r="L27" s="4">
        <f>C27*F27*$L$6</f>
        <v>117</v>
      </c>
      <c r="M27" s="4">
        <f t="shared" si="1"/>
        <v>2137.5</v>
      </c>
      <c r="N27" s="4">
        <f>IF(B27&gt;0,M27/$N$6,0)</f>
        <v>3.5625</v>
      </c>
    </row>
    <row r="28" spans="1:14">
      <c r="A28" s="54" t="s">
        <v>170</v>
      </c>
      <c r="B28" s="138">
        <v>30000</v>
      </c>
      <c r="C28" s="189">
        <v>0.3</v>
      </c>
      <c r="D28" s="123">
        <v>0.3</v>
      </c>
      <c r="E28" s="54">
        <v>10</v>
      </c>
      <c r="F28" s="4">
        <f>(B28+(B28*D28))/2</f>
        <v>19500</v>
      </c>
      <c r="G28" s="121"/>
      <c r="H28" s="4">
        <f>IF(B28&gt;0,C28*(B28-(B28*D28))/E28,0)</f>
        <v>630</v>
      </c>
      <c r="I28" s="4">
        <f>F28*$I$6*C28</f>
        <v>351</v>
      </c>
      <c r="J28" s="4">
        <f>C28*F28*$J$6</f>
        <v>0</v>
      </c>
      <c r="K28" s="4">
        <f>C28*F28*$K$6</f>
        <v>29.25</v>
      </c>
      <c r="L28" s="4">
        <f>C28*F28*$L$6</f>
        <v>58.5</v>
      </c>
      <c r="M28" s="4">
        <f t="shared" si="1"/>
        <v>1068.75</v>
      </c>
      <c r="N28" s="4">
        <f>IF(B28&gt;0,M28/$N$6,0)</f>
        <v>1.78125</v>
      </c>
    </row>
    <row r="29" spans="1:14">
      <c r="A29" s="54" t="s">
        <v>124</v>
      </c>
      <c r="B29" s="138">
        <v>5000</v>
      </c>
      <c r="C29" s="189">
        <v>0.8</v>
      </c>
      <c r="D29" s="123">
        <v>0.3</v>
      </c>
      <c r="E29" s="54">
        <v>10</v>
      </c>
      <c r="F29" s="4">
        <f>(B29+(B29*D29))/2</f>
        <v>3250</v>
      </c>
      <c r="G29" s="121"/>
      <c r="H29" s="4">
        <f>IF(B29&gt;0,C29*(B29-(B29*D29))/E29,0)</f>
        <v>280</v>
      </c>
      <c r="I29" s="4">
        <f>F29*$I$6*C29</f>
        <v>156</v>
      </c>
      <c r="J29" s="4">
        <f>C29*F29*$J$6</f>
        <v>0</v>
      </c>
      <c r="K29" s="4">
        <f>C29*F29*$K$6</f>
        <v>13</v>
      </c>
      <c r="L29" s="4">
        <f>C29*F29*$L$6</f>
        <v>26</v>
      </c>
      <c r="M29" s="4">
        <f t="shared" si="1"/>
        <v>475</v>
      </c>
      <c r="N29" s="4">
        <f>IF(B29&gt;0,M29/$N$6,0)</f>
        <v>0.79166666666666663</v>
      </c>
    </row>
    <row r="30" spans="1:14">
      <c r="A30" s="54"/>
      <c r="B30" s="138"/>
      <c r="C30" s="189"/>
      <c r="D30" s="123"/>
      <c r="E30" s="54"/>
      <c r="F30" s="4">
        <f>(B30+(B30*D30))/2</f>
        <v>0</v>
      </c>
      <c r="G30" s="121"/>
      <c r="H30" s="4">
        <f>IF(B30&gt;0,C30*(B30-(B30*D30))/E30,0)</f>
        <v>0</v>
      </c>
      <c r="I30" s="4">
        <f>F30*$I$6*C30</f>
        <v>0</v>
      </c>
      <c r="J30" s="4">
        <f>C30*F30*$J$6</f>
        <v>0</v>
      </c>
      <c r="K30" s="4">
        <f>C30*F30*$K$6</f>
        <v>0</v>
      </c>
      <c r="L30" s="4">
        <f>C30*F30*$L$6</f>
        <v>0</v>
      </c>
      <c r="M30" s="4">
        <f t="shared" si="1"/>
        <v>0</v>
      </c>
      <c r="N30" s="4">
        <f>IF(B30&gt;0,M30/$N$6,0)</f>
        <v>0</v>
      </c>
    </row>
    <row r="31" spans="1:14">
      <c r="A31" s="54"/>
      <c r="B31" s="138"/>
      <c r="C31" s="189"/>
      <c r="D31" s="123"/>
      <c r="E31" s="54"/>
      <c r="F31" s="4">
        <f>(B31+(B31*D31))/2</f>
        <v>0</v>
      </c>
      <c r="G31" s="121"/>
      <c r="H31" s="4">
        <f>IF(B31&gt;0,C31*(B31-(B31*D31))/E31,0)</f>
        <v>0</v>
      </c>
      <c r="I31" s="4">
        <f>F31*$I$6*C31</f>
        <v>0</v>
      </c>
      <c r="J31" s="4">
        <f>C31*F31*$J$6</f>
        <v>0</v>
      </c>
      <c r="K31" s="4">
        <f>C31*F31*$K$6</f>
        <v>0</v>
      </c>
      <c r="L31" s="4">
        <f>C31*F31*$L$6</f>
        <v>0</v>
      </c>
      <c r="M31" s="4">
        <f t="shared" si="1"/>
        <v>0</v>
      </c>
      <c r="N31" s="4">
        <f>IF(B31&gt;0,M31/$N$6,0)</f>
        <v>0</v>
      </c>
    </row>
    <row r="32" spans="1:14">
      <c r="A32" s="54"/>
      <c r="B32" s="138"/>
      <c r="C32" s="189"/>
      <c r="D32" s="123"/>
      <c r="E32" s="54"/>
      <c r="F32" s="4">
        <f>(B32+(B32*D32))/2</f>
        <v>0</v>
      </c>
      <c r="G32" s="121"/>
      <c r="H32" s="4">
        <f>IF(B32&gt;0,C32*(B32-(B32*D32))/E32,0)</f>
        <v>0</v>
      </c>
      <c r="I32" s="4">
        <f>F32*$I$6*C32</f>
        <v>0</v>
      </c>
      <c r="J32" s="4">
        <f>C32*F32*$J$6</f>
        <v>0</v>
      </c>
      <c r="K32" s="4">
        <f>C32*F32*$K$6</f>
        <v>0</v>
      </c>
      <c r="L32" s="4">
        <f>C32*F32*$L$6</f>
        <v>0</v>
      </c>
      <c r="M32" s="4">
        <f t="shared" si="1"/>
        <v>0</v>
      </c>
      <c r="N32" s="4">
        <f>IF(B32&gt;0,M32/$N$6,0)</f>
        <v>0</v>
      </c>
    </row>
    <row r="33" spans="1:17">
      <c r="A33" s="54"/>
      <c r="B33" s="138"/>
      <c r="C33" s="189"/>
      <c r="D33" s="123"/>
      <c r="E33" s="54"/>
      <c r="F33" s="4">
        <f>(B33+(B33*D33))/2</f>
        <v>0</v>
      </c>
      <c r="G33" s="121"/>
      <c r="H33" s="4">
        <f>IF(B33&gt;0,C33*(B33-(B33*D33))/E33,0)</f>
        <v>0</v>
      </c>
      <c r="I33" s="4">
        <f>F33*$I$6*C33</f>
        <v>0</v>
      </c>
      <c r="J33" s="4">
        <f>C33*F33*$J$6</f>
        <v>0</v>
      </c>
      <c r="K33" s="4">
        <f>C33*F33*$K$6</f>
        <v>0</v>
      </c>
      <c r="L33" s="4">
        <f>C33*F33*$L$6</f>
        <v>0</v>
      </c>
      <c r="M33" s="4">
        <f t="shared" si="1"/>
        <v>0</v>
      </c>
      <c r="N33" s="4">
        <f>IF(B33&gt;0,M33/$N$6,0)</f>
        <v>0</v>
      </c>
    </row>
    <row r="34" spans="1:17">
      <c r="A34" s="54"/>
      <c r="B34" s="138"/>
      <c r="C34" s="189"/>
      <c r="D34" s="123"/>
      <c r="E34" s="54"/>
      <c r="F34" s="4">
        <f>(B34+(B34*D34))/2</f>
        <v>0</v>
      </c>
      <c r="G34" s="121"/>
      <c r="H34" s="4">
        <f>IF(B34&gt;0,C34*(B34-(B34*D34))/E34,0)</f>
        <v>0</v>
      </c>
      <c r="I34" s="4">
        <f>F34*$I$6*C34</f>
        <v>0</v>
      </c>
      <c r="J34" s="4">
        <f>C34*F34*$J$6</f>
        <v>0</v>
      </c>
      <c r="K34" s="4">
        <f>C34*F34*$K$6</f>
        <v>0</v>
      </c>
      <c r="L34" s="4">
        <f>C34*F34*$L$6</f>
        <v>0</v>
      </c>
      <c r="M34" s="4">
        <f t="shared" si="1"/>
        <v>0</v>
      </c>
      <c r="N34" s="4">
        <f>IF(B34&gt;0,M34/$N$6,0)</f>
        <v>0</v>
      </c>
    </row>
    <row r="35" spans="1:17">
      <c r="A35" s="54"/>
      <c r="B35" s="53"/>
      <c r="C35" s="189"/>
      <c r="D35" s="123"/>
      <c r="E35" s="54"/>
      <c r="F35" s="4">
        <f>(B35+(B35*D35))/2</f>
        <v>0</v>
      </c>
      <c r="G35" s="121"/>
      <c r="H35" s="4">
        <f>IF(B35&gt;0,C35*(B35-(B35*D35))/E35,0)</f>
        <v>0</v>
      </c>
      <c r="I35" s="4">
        <f>F35*$I$6*C35</f>
        <v>0</v>
      </c>
      <c r="J35" s="4">
        <f>C35*F35*$J$6</f>
        <v>0</v>
      </c>
      <c r="K35" s="4">
        <f>C35*F35*$K$6</f>
        <v>0</v>
      </c>
      <c r="L35" s="4">
        <f>C35*F35*$L$6</f>
        <v>0</v>
      </c>
      <c r="M35" s="4">
        <f t="shared" si="1"/>
        <v>0</v>
      </c>
      <c r="N35" s="4">
        <f>IF(B35&gt;0,M35/$N$6,0)</f>
        <v>0</v>
      </c>
    </row>
    <row r="36" spans="1:17">
      <c r="A36" s="54"/>
      <c r="B36" s="53"/>
      <c r="C36" s="189"/>
      <c r="D36" s="123"/>
      <c r="E36" s="54"/>
      <c r="F36" s="4">
        <f>(B36+(B36*D36))/2</f>
        <v>0</v>
      </c>
      <c r="G36" s="121"/>
      <c r="H36" s="4">
        <f>IF(B36&gt;0,C36*(B36-(B36*D36))/E36,0)</f>
        <v>0</v>
      </c>
      <c r="I36" s="4">
        <f>F36*$I$6*C36</f>
        <v>0</v>
      </c>
      <c r="J36" s="4">
        <f>C36*F36*$J$6</f>
        <v>0</v>
      </c>
      <c r="K36" s="4">
        <f>C36*F36*$K$6</f>
        <v>0</v>
      </c>
      <c r="L36" s="4">
        <f>C36*F36*$L$6</f>
        <v>0</v>
      </c>
      <c r="M36" s="4">
        <f t="shared" si="1"/>
        <v>0</v>
      </c>
      <c r="N36" s="4">
        <f>IF(B36&gt;0,M36/$N$6,0)</f>
        <v>0</v>
      </c>
    </row>
    <row r="37" spans="1:17">
      <c r="A37" s="54"/>
      <c r="B37" s="53"/>
      <c r="C37" s="189"/>
      <c r="D37" s="123"/>
      <c r="E37" s="54"/>
      <c r="F37" s="4">
        <f>(B37+(B37*D37))/2</f>
        <v>0</v>
      </c>
      <c r="G37" s="121"/>
      <c r="H37" s="4">
        <f>IF(B37&gt;0,C37*(B37-(B37*D37))/E37,0)</f>
        <v>0</v>
      </c>
      <c r="I37" s="4">
        <f>F37*$I$6*C37</f>
        <v>0</v>
      </c>
      <c r="J37" s="4">
        <f>C37*F37*$J$6</f>
        <v>0</v>
      </c>
      <c r="K37" s="4">
        <f>C37*F37*$K$6</f>
        <v>0</v>
      </c>
      <c r="L37" s="4">
        <f>C37*F37*$L$6</f>
        <v>0</v>
      </c>
      <c r="M37" s="4">
        <f t="shared" si="1"/>
        <v>0</v>
      </c>
      <c r="N37" s="4">
        <f>IF(B37&gt;0,M37/$N$6,0)</f>
        <v>0</v>
      </c>
    </row>
    <row r="38" spans="1:17">
      <c r="A38" s="54"/>
      <c r="B38" s="53"/>
      <c r="C38" s="189"/>
      <c r="D38" s="123"/>
      <c r="E38" s="54"/>
      <c r="F38" s="4">
        <f>(B38+(B38*D38))/2</f>
        <v>0</v>
      </c>
      <c r="G38" s="121"/>
      <c r="H38" s="4">
        <f>IF(B38&gt;0,C38*(B38-(B38*D38))/E38,0)</f>
        <v>0</v>
      </c>
      <c r="I38" s="4">
        <f>F38*$I$6*C38</f>
        <v>0</v>
      </c>
      <c r="J38" s="4">
        <f>C38*F38*$J$6</f>
        <v>0</v>
      </c>
      <c r="K38" s="4">
        <f>C38*F38*$K$6</f>
        <v>0</v>
      </c>
      <c r="L38" s="4">
        <f>C38*F38*$L$6</f>
        <v>0</v>
      </c>
      <c r="M38" s="4">
        <f t="shared" si="1"/>
        <v>0</v>
      </c>
      <c r="N38" s="4">
        <f>IF(B38&gt;0,M38/$N$6,0)</f>
        <v>0</v>
      </c>
    </row>
    <row r="39" spans="1:17">
      <c r="A39" s="54"/>
      <c r="B39" s="53"/>
      <c r="C39" s="189"/>
      <c r="D39" s="123"/>
      <c r="E39" s="54"/>
      <c r="F39" s="4">
        <f>(B39+(B39*D39))/2</f>
        <v>0</v>
      </c>
      <c r="G39" s="121"/>
      <c r="H39" s="4">
        <f>IF(B39&gt;0,C39*(B39-(B39*D39))/E39,0)</f>
        <v>0</v>
      </c>
      <c r="I39" s="4">
        <f>F39*$I$6*C39</f>
        <v>0</v>
      </c>
      <c r="J39" s="4">
        <f>C39*F39*$J$6</f>
        <v>0</v>
      </c>
      <c r="K39" s="4">
        <f>C39*F39*$K$6</f>
        <v>0</v>
      </c>
      <c r="L39" s="4">
        <f>C39*F39*$L$6</f>
        <v>0</v>
      </c>
      <c r="M39" s="4">
        <f t="shared" si="1"/>
        <v>0</v>
      </c>
      <c r="N39" s="4">
        <f>IF(B39&gt;0,M39/$N$6,0)</f>
        <v>0</v>
      </c>
    </row>
    <row r="40" spans="1:17" ht="15" thickBot="1">
      <c r="A40" s="143"/>
      <c r="B40" s="356"/>
      <c r="C40" s="357"/>
      <c r="D40" s="358"/>
      <c r="E40" s="359"/>
      <c r="F40" s="4">
        <f>(B40+(B40*D40))/2</f>
        <v>0</v>
      </c>
      <c r="G40" s="361"/>
      <c r="H40" s="360">
        <f>IF(B40&gt;0,C40*(B40-(B40*D40))/E40,0)</f>
        <v>0</v>
      </c>
      <c r="I40" s="360">
        <f>F40*$I$6*C40</f>
        <v>0</v>
      </c>
      <c r="J40" s="360">
        <f>C40*F40*$J$6</f>
        <v>0</v>
      </c>
      <c r="K40" s="360">
        <f>C40*F40*$K$6</f>
        <v>0</v>
      </c>
      <c r="L40" s="4">
        <f>C40*F40*$L$6</f>
        <v>0</v>
      </c>
      <c r="M40" s="360">
        <f t="shared" si="1"/>
        <v>0</v>
      </c>
      <c r="N40" s="360">
        <f>IF(B40&gt;0,M40/$N$6,0)</f>
        <v>0</v>
      </c>
    </row>
    <row r="41" spans="1:17" ht="18.5">
      <c r="A41" s="293"/>
      <c r="B41" s="362"/>
      <c r="C41" s="362"/>
      <c r="D41" s="363"/>
      <c r="E41" s="65"/>
      <c r="F41" s="362"/>
      <c r="G41" s="364" t="s">
        <v>231</v>
      </c>
      <c r="H41" s="362">
        <f t="shared" ref="H41:M41" si="2">SUM(H9:H40)</f>
        <v>106401.4</v>
      </c>
      <c r="I41" s="362">
        <f t="shared" si="2"/>
        <v>103458.81</v>
      </c>
      <c r="J41" s="362">
        <f t="shared" si="2"/>
        <v>0</v>
      </c>
      <c r="K41" s="362">
        <f t="shared" si="2"/>
        <v>8621.5674999999992</v>
      </c>
      <c r="L41" s="362">
        <f t="shared" si="2"/>
        <v>2517.125</v>
      </c>
      <c r="M41" s="362">
        <f t="shared" si="2"/>
        <v>220998.9025</v>
      </c>
      <c r="N41" s="365"/>
      <c r="O41" s="116"/>
      <c r="P41" s="116"/>
      <c r="Q41" s="116"/>
    </row>
    <row r="42" spans="1:17" ht="25.5" customHeight="1">
      <c r="A42" s="33"/>
      <c r="B42" s="36"/>
      <c r="C42" s="36"/>
      <c r="D42" s="133"/>
      <c r="E42" s="37"/>
      <c r="F42" s="395" t="s">
        <v>160</v>
      </c>
      <c r="G42" s="396"/>
      <c r="H42" s="135">
        <f>H41/$N$6</f>
        <v>177.33566666666667</v>
      </c>
      <c r="I42" s="135">
        <f>I41/$N$6</f>
        <v>172.43135000000001</v>
      </c>
      <c r="J42" s="135">
        <f>J41/$N$6</f>
        <v>0</v>
      </c>
      <c r="K42" s="135">
        <f>K41/$N$6</f>
        <v>14.369279166666665</v>
      </c>
      <c r="L42" s="135">
        <f>L41/$N$6</f>
        <v>4.1952083333333334</v>
      </c>
      <c r="M42" s="134"/>
      <c r="N42" s="135">
        <f>SUM(H42:M42)</f>
        <v>368.33150416666666</v>
      </c>
      <c r="O42" s="206"/>
      <c r="P42" s="116"/>
      <c r="Q42" s="116"/>
    </row>
    <row r="43" spans="1:17" ht="32.25" customHeight="1">
      <c r="A43" s="33"/>
      <c r="B43" s="36"/>
      <c r="C43" s="36"/>
      <c r="D43" s="133"/>
      <c r="E43" s="37"/>
      <c r="F43" s="205"/>
      <c r="G43" s="205"/>
      <c r="H43" s="135" t="s">
        <v>171</v>
      </c>
      <c r="I43" s="135" t="s">
        <v>172</v>
      </c>
      <c r="J43" s="135" t="s">
        <v>173</v>
      </c>
      <c r="K43" s="135" t="s">
        <v>174</v>
      </c>
      <c r="L43" s="135" t="s">
        <v>176</v>
      </c>
      <c r="M43" s="134"/>
      <c r="N43" s="366" t="s">
        <v>232</v>
      </c>
      <c r="O43" s="206"/>
      <c r="P43" s="116"/>
      <c r="Q43" s="116"/>
    </row>
    <row r="44" spans="1:17" s="119" customFormat="1" ht="19.5" customHeight="1">
      <c r="A44" s="381" t="s">
        <v>178</v>
      </c>
      <c r="B44" s="381"/>
      <c r="C44" s="381"/>
      <c r="D44" s="381"/>
      <c r="E44" s="381"/>
      <c r="F44" s="381"/>
      <c r="G44" s="381"/>
      <c r="H44" s="381"/>
      <c r="I44" s="381"/>
      <c r="J44" s="381"/>
      <c r="K44" s="381"/>
      <c r="L44" s="381"/>
    </row>
    <row r="45" spans="1:17" s="119" customFormat="1" ht="19.5" customHeight="1">
      <c r="A45" s="381" t="s">
        <v>235</v>
      </c>
      <c r="B45" s="381"/>
      <c r="C45" s="381"/>
      <c r="D45" s="381"/>
      <c r="E45" s="381"/>
      <c r="F45" s="381"/>
      <c r="G45" s="381"/>
      <c r="H45" s="381"/>
      <c r="I45" s="381"/>
      <c r="J45" s="381"/>
      <c r="K45" s="381"/>
      <c r="L45" s="381"/>
    </row>
    <row r="46" spans="1:17" s="119" customFormat="1" ht="21" customHeight="1">
      <c r="A46" s="381" t="s">
        <v>180</v>
      </c>
      <c r="B46" s="381"/>
      <c r="C46" s="381"/>
      <c r="D46" s="381"/>
      <c r="E46" s="381"/>
      <c r="F46" s="381"/>
      <c r="G46" s="381"/>
      <c r="H46" s="381"/>
      <c r="I46" s="381"/>
      <c r="J46" s="381"/>
      <c r="K46" s="381"/>
      <c r="L46" s="381"/>
    </row>
    <row r="47" spans="1:17" s="119" customFormat="1" ht="19.5" customHeight="1">
      <c r="A47" s="381" t="s">
        <v>144</v>
      </c>
      <c r="B47" s="381"/>
      <c r="C47" s="381"/>
      <c r="D47" s="381"/>
      <c r="E47" s="381"/>
      <c r="F47" s="381"/>
      <c r="G47" s="381"/>
      <c r="H47" s="381"/>
      <c r="I47" s="381"/>
      <c r="J47" s="381"/>
      <c r="K47" s="381"/>
      <c r="L47" s="381"/>
    </row>
    <row r="48" spans="1:17" s="119" customFormat="1" ht="19.5" customHeight="1">
      <c r="A48" s="381" t="s">
        <v>143</v>
      </c>
      <c r="B48" s="381"/>
      <c r="C48" s="381"/>
      <c r="D48" s="381"/>
      <c r="E48" s="381"/>
      <c r="F48" s="381"/>
      <c r="G48" s="381"/>
      <c r="H48" s="381"/>
      <c r="I48" s="381"/>
      <c r="J48" s="381"/>
      <c r="K48" s="381"/>
      <c r="L48" s="381"/>
    </row>
    <row r="49" spans="1:12" s="119" customFormat="1" ht="19.5" customHeight="1">
      <c r="A49" s="381" t="s">
        <v>145</v>
      </c>
      <c r="B49" s="381"/>
      <c r="C49" s="381"/>
      <c r="D49" s="381"/>
      <c r="E49" s="381"/>
      <c r="F49" s="381"/>
      <c r="G49" s="381"/>
      <c r="H49" s="381"/>
      <c r="I49" s="381"/>
      <c r="J49" s="381"/>
      <c r="K49" s="381"/>
      <c r="L49" s="381"/>
    </row>
    <row r="50" spans="1:12" s="119" customFormat="1" ht="96.75" customHeight="1">
      <c r="A50" s="381" t="s">
        <v>209</v>
      </c>
      <c r="B50" s="381"/>
      <c r="C50" s="381"/>
      <c r="D50" s="381"/>
      <c r="E50" s="381"/>
      <c r="F50" s="381"/>
      <c r="G50" s="381"/>
      <c r="H50" s="381"/>
      <c r="I50" s="381"/>
      <c r="J50" s="381"/>
      <c r="K50" s="381"/>
      <c r="L50" s="381"/>
    </row>
    <row r="52" spans="1:12">
      <c r="A52" s="37"/>
      <c r="B52" s="37"/>
      <c r="C52" s="37"/>
    </row>
    <row r="53" spans="1:12" ht="18.5">
      <c r="A53" s="207"/>
      <c r="B53" s="391" t="s">
        <v>138</v>
      </c>
      <c r="C53" s="391"/>
      <c r="D53" s="391"/>
      <c r="E53" s="391"/>
      <c r="F53" s="391"/>
      <c r="G53" s="391"/>
      <c r="H53" s="391"/>
    </row>
    <row r="54" spans="1:12" ht="37.5" customHeight="1">
      <c r="A54" s="208"/>
      <c r="B54" s="390" t="s">
        <v>137</v>
      </c>
      <c r="C54" s="390"/>
      <c r="D54" s="390"/>
      <c r="E54" s="390"/>
      <c r="F54" s="390"/>
      <c r="G54" s="390"/>
      <c r="H54" s="390"/>
    </row>
    <row r="55" spans="1:12" ht="43.5">
      <c r="A55" s="37"/>
      <c r="B55" s="187" t="s">
        <v>125</v>
      </c>
      <c r="C55" s="187" t="s">
        <v>126</v>
      </c>
      <c r="D55" s="187" t="s">
        <v>127</v>
      </c>
      <c r="E55" s="187" t="s">
        <v>128</v>
      </c>
      <c r="F55" s="187" t="s">
        <v>129</v>
      </c>
      <c r="G55" s="187" t="s">
        <v>130</v>
      </c>
      <c r="H55" s="187" t="s">
        <v>131</v>
      </c>
    </row>
    <row r="56" spans="1:12">
      <c r="A56" s="37"/>
      <c r="B56" s="2">
        <v>1</v>
      </c>
      <c r="C56" s="118">
        <v>0.68</v>
      </c>
      <c r="D56" s="118">
        <v>0.67</v>
      </c>
      <c r="E56" s="118">
        <v>0.7</v>
      </c>
      <c r="F56" s="118">
        <v>0.56000000000000005</v>
      </c>
      <c r="G56" s="118">
        <v>0.61</v>
      </c>
      <c r="H56" s="118">
        <v>0.65</v>
      </c>
    </row>
    <row r="57" spans="1:12">
      <c r="A57" s="37"/>
      <c r="B57" s="2">
        <v>2</v>
      </c>
      <c r="C57" s="118">
        <v>0.62</v>
      </c>
      <c r="D57" s="118">
        <v>0.59</v>
      </c>
      <c r="E57" s="118">
        <v>0.59</v>
      </c>
      <c r="F57" s="118">
        <v>0.5</v>
      </c>
      <c r="G57" s="118">
        <v>0.54</v>
      </c>
      <c r="H57" s="118">
        <v>0.6</v>
      </c>
    </row>
    <row r="58" spans="1:12">
      <c r="A58" s="37"/>
      <c r="B58" s="2">
        <v>3</v>
      </c>
      <c r="C58" s="118">
        <v>0.56999999999999995</v>
      </c>
      <c r="D58" s="118">
        <v>0.54</v>
      </c>
      <c r="E58" s="118">
        <v>0.51</v>
      </c>
      <c r="F58" s="118">
        <v>0.46</v>
      </c>
      <c r="G58" s="118">
        <v>0.49</v>
      </c>
      <c r="H58" s="118">
        <v>0.56000000000000005</v>
      </c>
    </row>
    <row r="59" spans="1:12">
      <c r="A59" s="37"/>
      <c r="B59" s="2">
        <v>4</v>
      </c>
      <c r="C59" s="118">
        <v>0.53</v>
      </c>
      <c r="D59" s="118">
        <v>0.49</v>
      </c>
      <c r="E59" s="118">
        <v>0.45</v>
      </c>
      <c r="F59" s="118">
        <v>0.42</v>
      </c>
      <c r="G59" s="118">
        <v>0.45</v>
      </c>
      <c r="H59" s="118">
        <v>0.53</v>
      </c>
    </row>
    <row r="60" spans="1:12">
      <c r="A60" s="37"/>
      <c r="B60" s="2">
        <v>5</v>
      </c>
      <c r="C60" s="118">
        <v>0.49</v>
      </c>
      <c r="D60" s="118">
        <v>0.45</v>
      </c>
      <c r="E60" s="118">
        <v>0.4</v>
      </c>
      <c r="F60" s="118">
        <v>0.39</v>
      </c>
      <c r="G60" s="118">
        <v>0.42</v>
      </c>
      <c r="H60" s="118">
        <v>0.5</v>
      </c>
    </row>
    <row r="61" spans="1:12">
      <c r="A61" s="37"/>
      <c r="B61" s="2">
        <v>6</v>
      </c>
      <c r="C61" s="118">
        <v>0.46</v>
      </c>
      <c r="D61" s="118">
        <v>0.42</v>
      </c>
      <c r="E61" s="118">
        <v>0.36</v>
      </c>
      <c r="F61" s="118">
        <v>0.37</v>
      </c>
      <c r="G61" s="118">
        <v>0.39</v>
      </c>
      <c r="H61" s="118">
        <v>0.48</v>
      </c>
    </row>
    <row r="62" spans="1:12">
      <c r="A62" s="37"/>
      <c r="B62" s="2">
        <v>7</v>
      </c>
      <c r="C62" s="118">
        <v>0.44</v>
      </c>
      <c r="D62" s="118">
        <v>0.39</v>
      </c>
      <c r="E62" s="118">
        <v>0.32</v>
      </c>
      <c r="F62" s="118">
        <v>0.34</v>
      </c>
      <c r="G62" s="118">
        <v>0.36</v>
      </c>
      <c r="H62" s="118">
        <v>0.46</v>
      </c>
    </row>
    <row r="63" spans="1:12">
      <c r="A63" s="37"/>
      <c r="B63" s="2">
        <v>8</v>
      </c>
      <c r="C63" s="118">
        <v>0.41</v>
      </c>
      <c r="D63" s="118">
        <v>0.36</v>
      </c>
      <c r="E63" s="118">
        <v>0.28999999999999998</v>
      </c>
      <c r="F63" s="118">
        <v>0.32</v>
      </c>
      <c r="G63" s="118">
        <v>0.34</v>
      </c>
      <c r="H63" s="118">
        <v>0.44</v>
      </c>
    </row>
    <row r="64" spans="1:12">
      <c r="A64" s="37"/>
      <c r="B64" s="2">
        <v>9</v>
      </c>
      <c r="C64" s="118">
        <v>0.39</v>
      </c>
      <c r="D64" s="118">
        <v>0.34</v>
      </c>
      <c r="E64" s="118">
        <v>0.26</v>
      </c>
      <c r="F64" s="118">
        <v>0.3</v>
      </c>
      <c r="G64" s="118">
        <v>0.31</v>
      </c>
      <c r="H64" s="118">
        <v>0.42</v>
      </c>
    </row>
    <row r="65" spans="1:8">
      <c r="A65" s="37"/>
      <c r="B65" s="2">
        <v>10</v>
      </c>
      <c r="C65" s="118">
        <v>0.37</v>
      </c>
      <c r="D65" s="118">
        <v>0.32</v>
      </c>
      <c r="E65" s="118">
        <v>0.22</v>
      </c>
      <c r="F65" s="118">
        <v>0.28000000000000003</v>
      </c>
      <c r="G65" s="118">
        <v>0.3</v>
      </c>
      <c r="H65" s="118">
        <v>0.4</v>
      </c>
    </row>
    <row r="66" spans="1:8">
      <c r="A66" s="37"/>
      <c r="B66" s="2">
        <v>11</v>
      </c>
      <c r="C66" s="118">
        <v>0.35</v>
      </c>
      <c r="D66" s="118">
        <v>0.3</v>
      </c>
      <c r="E66" s="118">
        <v>0.21</v>
      </c>
      <c r="F66" s="118">
        <v>0.27</v>
      </c>
      <c r="G66" s="118">
        <v>0.28000000000000003</v>
      </c>
      <c r="H66" s="118">
        <v>0.39</v>
      </c>
    </row>
    <row r="67" spans="1:8">
      <c r="A67" s="37"/>
      <c r="B67" s="2">
        <v>12</v>
      </c>
      <c r="C67" s="118">
        <v>0.34</v>
      </c>
      <c r="D67" s="118">
        <v>0.28000000000000003</v>
      </c>
      <c r="E67" s="118">
        <v>0.18</v>
      </c>
      <c r="F67" s="118">
        <v>0.25</v>
      </c>
      <c r="G67" s="118">
        <v>0.26</v>
      </c>
      <c r="H67" s="118">
        <v>0.38</v>
      </c>
    </row>
    <row r="68" spans="1:8" ht="44.15" customHeight="1">
      <c r="A68" s="37"/>
      <c r="B68" s="355" t="s">
        <v>132</v>
      </c>
      <c r="C68" s="209">
        <v>400</v>
      </c>
      <c r="D68" s="209">
        <v>400</v>
      </c>
      <c r="E68" s="209">
        <v>275</v>
      </c>
      <c r="F68" s="209" t="s">
        <v>133</v>
      </c>
      <c r="G68" s="209" t="s">
        <v>134</v>
      </c>
      <c r="H68" s="209" t="s">
        <v>133</v>
      </c>
    </row>
    <row r="69" spans="1:8">
      <c r="A69" s="37"/>
      <c r="B69" s="379"/>
      <c r="C69" s="2"/>
      <c r="D69" s="2"/>
      <c r="E69" s="2"/>
      <c r="F69" s="2"/>
      <c r="G69" s="2"/>
      <c r="H69" s="2"/>
    </row>
    <row r="70" spans="1:8">
      <c r="A70" s="37"/>
      <c r="B70" s="422" t="s">
        <v>135</v>
      </c>
      <c r="C70" s="422"/>
      <c r="D70" s="422"/>
      <c r="E70" s="422"/>
      <c r="F70" s="422"/>
      <c r="G70" s="422"/>
      <c r="H70" s="422"/>
    </row>
    <row r="71" spans="1:8" ht="29.5" customHeight="1">
      <c r="A71" s="37"/>
      <c r="B71" s="423" t="s">
        <v>136</v>
      </c>
      <c r="C71" s="423"/>
      <c r="D71" s="423"/>
      <c r="E71" s="423"/>
      <c r="F71" s="423"/>
      <c r="G71" s="423"/>
      <c r="H71" s="423"/>
    </row>
    <row r="72" spans="1:8">
      <c r="A72" s="37"/>
      <c r="B72" s="133"/>
      <c r="C72" s="133"/>
    </row>
    <row r="73" spans="1:8">
      <c r="A73" s="37"/>
      <c r="B73" s="133"/>
      <c r="C73" s="133"/>
    </row>
    <row r="74" spans="1:8">
      <c r="A74" s="37"/>
      <c r="B74" s="133"/>
      <c r="C74" s="133"/>
    </row>
    <row r="75" spans="1:8">
      <c r="A75" s="37"/>
      <c r="B75" s="133"/>
      <c r="C75" s="133"/>
    </row>
    <row r="76" spans="1:8">
      <c r="A76" s="37"/>
      <c r="B76" s="133"/>
      <c r="C76" s="133"/>
    </row>
    <row r="77" spans="1:8">
      <c r="A77" s="37"/>
      <c r="B77" s="133"/>
      <c r="C77" s="133"/>
    </row>
    <row r="78" spans="1:8">
      <c r="A78" s="37"/>
      <c r="B78" s="133"/>
      <c r="C78" s="133"/>
    </row>
    <row r="79" spans="1:8">
      <c r="A79" s="37"/>
      <c r="B79" s="133"/>
      <c r="C79" s="133"/>
    </row>
    <row r="80" spans="1:8">
      <c r="A80" s="37"/>
      <c r="B80" s="133"/>
      <c r="C80" s="133"/>
    </row>
    <row r="81" spans="1:3">
      <c r="A81" s="37"/>
      <c r="B81" s="133"/>
      <c r="C81" s="133"/>
    </row>
    <row r="82" spans="1:3">
      <c r="A82" s="37"/>
      <c r="B82" s="133"/>
      <c r="C82" s="133"/>
    </row>
    <row r="83" spans="1:3">
      <c r="A83" s="37"/>
      <c r="B83" s="133"/>
      <c r="C83" s="133"/>
    </row>
    <row r="84" spans="1:3" s="117" customFormat="1" ht="38.15" customHeight="1">
      <c r="A84" s="392"/>
      <c r="B84" s="392"/>
      <c r="C84" s="188"/>
    </row>
    <row r="85" spans="1:3" s="117" customFormat="1" ht="53.15" customHeight="1">
      <c r="A85" s="392"/>
      <c r="B85" s="392"/>
      <c r="C85" s="188"/>
    </row>
  </sheetData>
  <mergeCells count="17">
    <mergeCell ref="A85:B85"/>
    <mergeCell ref="A84:B84"/>
    <mergeCell ref="N2:N5"/>
    <mergeCell ref="F42:G42"/>
    <mergeCell ref="J3:L4"/>
    <mergeCell ref="A44:L44"/>
    <mergeCell ref="A45:L45"/>
    <mergeCell ref="A46:L46"/>
    <mergeCell ref="A47:L47"/>
    <mergeCell ref="A48:L48"/>
    <mergeCell ref="B70:H70"/>
    <mergeCell ref="B71:H71"/>
    <mergeCell ref="B53:H53"/>
    <mergeCell ref="B54:H54"/>
    <mergeCell ref="A1:N1"/>
    <mergeCell ref="A49:L49"/>
    <mergeCell ref="A50:L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abSelected="1" workbookViewId="0">
      <selection activeCell="Q15" sqref="Q15"/>
    </sheetView>
  </sheetViews>
  <sheetFormatPr defaultColWidth="8.81640625" defaultRowHeight="14.5"/>
  <cols>
    <col min="1" max="1" width="18.54296875" style="83" bestFit="1" customWidth="1"/>
    <col min="2" max="2" width="6.26953125" style="83" bestFit="1" customWidth="1"/>
    <col min="3" max="3" width="4.453125" style="83" bestFit="1" customWidth="1"/>
    <col min="4" max="4" width="6.1796875" style="83" customWidth="1"/>
    <col min="5" max="5" width="9.7265625" style="83" customWidth="1"/>
    <col min="6" max="6" width="14.81640625" style="83" customWidth="1"/>
    <col min="7" max="7" width="14.54296875" style="83" customWidth="1"/>
    <col min="8" max="8" width="8.81640625" style="83"/>
    <col min="9" max="9" width="10.1796875" style="83" customWidth="1"/>
    <col min="10" max="10" width="13.54296875" style="83" customWidth="1"/>
    <col min="11" max="12" width="8.81640625" style="83"/>
    <col min="13" max="13" width="13.1796875" style="83" customWidth="1"/>
    <col min="14" max="15" width="8.81640625" style="83"/>
    <col min="16" max="16" width="12.54296875" style="83" customWidth="1"/>
    <col min="17" max="255" width="8.81640625" style="83"/>
    <col min="256" max="256" width="18.54296875" style="83" bestFit="1" customWidth="1"/>
    <col min="257" max="257" width="5.54296875" style="83" bestFit="1" customWidth="1"/>
    <col min="258" max="258" width="4.453125" style="83" bestFit="1" customWidth="1"/>
    <col min="259" max="261" width="14.81640625" style="83" customWidth="1"/>
    <col min="262" max="262" width="16.54296875" style="83" customWidth="1"/>
    <col min="263" max="511" width="8.81640625" style="83"/>
    <col min="512" max="512" width="18.54296875" style="83" bestFit="1" customWidth="1"/>
    <col min="513" max="513" width="5.54296875" style="83" bestFit="1" customWidth="1"/>
    <col min="514" max="514" width="4.453125" style="83" bestFit="1" customWidth="1"/>
    <col min="515" max="517" width="14.81640625" style="83" customWidth="1"/>
    <col min="518" max="518" width="16.54296875" style="83" customWidth="1"/>
    <col min="519" max="767" width="8.81640625" style="83"/>
    <col min="768" max="768" width="18.54296875" style="83" bestFit="1" customWidth="1"/>
    <col min="769" max="769" width="5.54296875" style="83" bestFit="1" customWidth="1"/>
    <col min="770" max="770" width="4.453125" style="83" bestFit="1" customWidth="1"/>
    <col min="771" max="773" width="14.81640625" style="83" customWidth="1"/>
    <col min="774" max="774" width="16.54296875" style="83" customWidth="1"/>
    <col min="775" max="1023" width="8.81640625" style="83"/>
    <col min="1024" max="1024" width="18.54296875" style="83" bestFit="1" customWidth="1"/>
    <col min="1025" max="1025" width="5.54296875" style="83" bestFit="1" customWidth="1"/>
    <col min="1026" max="1026" width="4.453125" style="83" bestFit="1" customWidth="1"/>
    <col min="1027" max="1029" width="14.81640625" style="83" customWidth="1"/>
    <col min="1030" max="1030" width="16.54296875" style="83" customWidth="1"/>
    <col min="1031" max="1279" width="8.81640625" style="83"/>
    <col min="1280" max="1280" width="18.54296875" style="83" bestFit="1" customWidth="1"/>
    <col min="1281" max="1281" width="5.54296875" style="83" bestFit="1" customWidth="1"/>
    <col min="1282" max="1282" width="4.453125" style="83" bestFit="1" customWidth="1"/>
    <col min="1283" max="1285" width="14.81640625" style="83" customWidth="1"/>
    <col min="1286" max="1286" width="16.54296875" style="83" customWidth="1"/>
    <col min="1287" max="1535" width="8.81640625" style="83"/>
    <col min="1536" max="1536" width="18.54296875" style="83" bestFit="1" customWidth="1"/>
    <col min="1537" max="1537" width="5.54296875" style="83" bestFit="1" customWidth="1"/>
    <col min="1538" max="1538" width="4.453125" style="83" bestFit="1" customWidth="1"/>
    <col min="1539" max="1541" width="14.81640625" style="83" customWidth="1"/>
    <col min="1542" max="1542" width="16.54296875" style="83" customWidth="1"/>
    <col min="1543" max="1791" width="8.81640625" style="83"/>
    <col min="1792" max="1792" width="18.54296875" style="83" bestFit="1" customWidth="1"/>
    <col min="1793" max="1793" width="5.54296875" style="83" bestFit="1" customWidth="1"/>
    <col min="1794" max="1794" width="4.453125" style="83" bestFit="1" customWidth="1"/>
    <col min="1795" max="1797" width="14.81640625" style="83" customWidth="1"/>
    <col min="1798" max="1798" width="16.54296875" style="83" customWidth="1"/>
    <col min="1799" max="2047" width="8.81640625" style="83"/>
    <col min="2048" max="2048" width="18.54296875" style="83" bestFit="1" customWidth="1"/>
    <col min="2049" max="2049" width="5.54296875" style="83" bestFit="1" customWidth="1"/>
    <col min="2050" max="2050" width="4.453125" style="83" bestFit="1" customWidth="1"/>
    <col min="2051" max="2053" width="14.81640625" style="83" customWidth="1"/>
    <col min="2054" max="2054" width="16.54296875" style="83" customWidth="1"/>
    <col min="2055" max="2303" width="8.81640625" style="83"/>
    <col min="2304" max="2304" width="18.54296875" style="83" bestFit="1" customWidth="1"/>
    <col min="2305" max="2305" width="5.54296875" style="83" bestFit="1" customWidth="1"/>
    <col min="2306" max="2306" width="4.453125" style="83" bestFit="1" customWidth="1"/>
    <col min="2307" max="2309" width="14.81640625" style="83" customWidth="1"/>
    <col min="2310" max="2310" width="16.54296875" style="83" customWidth="1"/>
    <col min="2311" max="2559" width="8.81640625" style="83"/>
    <col min="2560" max="2560" width="18.54296875" style="83" bestFit="1" customWidth="1"/>
    <col min="2561" max="2561" width="5.54296875" style="83" bestFit="1" customWidth="1"/>
    <col min="2562" max="2562" width="4.453125" style="83" bestFit="1" customWidth="1"/>
    <col min="2563" max="2565" width="14.81640625" style="83" customWidth="1"/>
    <col min="2566" max="2566" width="16.54296875" style="83" customWidth="1"/>
    <col min="2567" max="2815" width="8.81640625" style="83"/>
    <col min="2816" max="2816" width="18.54296875" style="83" bestFit="1" customWidth="1"/>
    <col min="2817" max="2817" width="5.54296875" style="83" bestFit="1" customWidth="1"/>
    <col min="2818" max="2818" width="4.453125" style="83" bestFit="1" customWidth="1"/>
    <col min="2819" max="2821" width="14.81640625" style="83" customWidth="1"/>
    <col min="2822" max="2822" width="16.54296875" style="83" customWidth="1"/>
    <col min="2823" max="3071" width="8.81640625" style="83"/>
    <col min="3072" max="3072" width="18.54296875" style="83" bestFit="1" customWidth="1"/>
    <col min="3073" max="3073" width="5.54296875" style="83" bestFit="1" customWidth="1"/>
    <col min="3074" max="3074" width="4.453125" style="83" bestFit="1" customWidth="1"/>
    <col min="3075" max="3077" width="14.81640625" style="83" customWidth="1"/>
    <col min="3078" max="3078" width="16.54296875" style="83" customWidth="1"/>
    <col min="3079" max="3327" width="8.81640625" style="83"/>
    <col min="3328" max="3328" width="18.54296875" style="83" bestFit="1" customWidth="1"/>
    <col min="3329" max="3329" width="5.54296875" style="83" bestFit="1" customWidth="1"/>
    <col min="3330" max="3330" width="4.453125" style="83" bestFit="1" customWidth="1"/>
    <col min="3331" max="3333" width="14.81640625" style="83" customWidth="1"/>
    <col min="3334" max="3334" width="16.54296875" style="83" customWidth="1"/>
    <col min="3335" max="3583" width="8.81640625" style="83"/>
    <col min="3584" max="3584" width="18.54296875" style="83" bestFit="1" customWidth="1"/>
    <col min="3585" max="3585" width="5.54296875" style="83" bestFit="1" customWidth="1"/>
    <col min="3586" max="3586" width="4.453125" style="83" bestFit="1" customWidth="1"/>
    <col min="3587" max="3589" width="14.81640625" style="83" customWidth="1"/>
    <col min="3590" max="3590" width="16.54296875" style="83" customWidth="1"/>
    <col min="3591" max="3839" width="8.81640625" style="83"/>
    <col min="3840" max="3840" width="18.54296875" style="83" bestFit="1" customWidth="1"/>
    <col min="3841" max="3841" width="5.54296875" style="83" bestFit="1" customWidth="1"/>
    <col min="3842" max="3842" width="4.453125" style="83" bestFit="1" customWidth="1"/>
    <col min="3843" max="3845" width="14.81640625" style="83" customWidth="1"/>
    <col min="3846" max="3846" width="16.54296875" style="83" customWidth="1"/>
    <col min="3847" max="4095" width="8.81640625" style="83"/>
    <col min="4096" max="4096" width="18.54296875" style="83" bestFit="1" customWidth="1"/>
    <col min="4097" max="4097" width="5.54296875" style="83" bestFit="1" customWidth="1"/>
    <col min="4098" max="4098" width="4.453125" style="83" bestFit="1" customWidth="1"/>
    <col min="4099" max="4101" width="14.81640625" style="83" customWidth="1"/>
    <col min="4102" max="4102" width="16.54296875" style="83" customWidth="1"/>
    <col min="4103" max="4351" width="8.81640625" style="83"/>
    <col min="4352" max="4352" width="18.54296875" style="83" bestFit="1" customWidth="1"/>
    <col min="4353" max="4353" width="5.54296875" style="83" bestFit="1" customWidth="1"/>
    <col min="4354" max="4354" width="4.453125" style="83" bestFit="1" customWidth="1"/>
    <col min="4355" max="4357" width="14.81640625" style="83" customWidth="1"/>
    <col min="4358" max="4358" width="16.54296875" style="83" customWidth="1"/>
    <col min="4359" max="4607" width="8.81640625" style="83"/>
    <col min="4608" max="4608" width="18.54296875" style="83" bestFit="1" customWidth="1"/>
    <col min="4609" max="4609" width="5.54296875" style="83" bestFit="1" customWidth="1"/>
    <col min="4610" max="4610" width="4.453125" style="83" bestFit="1" customWidth="1"/>
    <col min="4611" max="4613" width="14.81640625" style="83" customWidth="1"/>
    <col min="4614" max="4614" width="16.54296875" style="83" customWidth="1"/>
    <col min="4615" max="4863" width="8.81640625" style="83"/>
    <col min="4864" max="4864" width="18.54296875" style="83" bestFit="1" customWidth="1"/>
    <col min="4865" max="4865" width="5.54296875" style="83" bestFit="1" customWidth="1"/>
    <col min="4866" max="4866" width="4.453125" style="83" bestFit="1" customWidth="1"/>
    <col min="4867" max="4869" width="14.81640625" style="83" customWidth="1"/>
    <col min="4870" max="4870" width="16.54296875" style="83" customWidth="1"/>
    <col min="4871" max="5119" width="8.81640625" style="83"/>
    <col min="5120" max="5120" width="18.54296875" style="83" bestFit="1" customWidth="1"/>
    <col min="5121" max="5121" width="5.54296875" style="83" bestFit="1" customWidth="1"/>
    <col min="5122" max="5122" width="4.453125" style="83" bestFit="1" customWidth="1"/>
    <col min="5123" max="5125" width="14.81640625" style="83" customWidth="1"/>
    <col min="5126" max="5126" width="16.54296875" style="83" customWidth="1"/>
    <col min="5127" max="5375" width="8.81640625" style="83"/>
    <col min="5376" max="5376" width="18.54296875" style="83" bestFit="1" customWidth="1"/>
    <col min="5377" max="5377" width="5.54296875" style="83" bestFit="1" customWidth="1"/>
    <col min="5378" max="5378" width="4.453125" style="83" bestFit="1" customWidth="1"/>
    <col min="5379" max="5381" width="14.81640625" style="83" customWidth="1"/>
    <col min="5382" max="5382" width="16.54296875" style="83" customWidth="1"/>
    <col min="5383" max="5631" width="8.81640625" style="83"/>
    <col min="5632" max="5632" width="18.54296875" style="83" bestFit="1" customWidth="1"/>
    <col min="5633" max="5633" width="5.54296875" style="83" bestFit="1" customWidth="1"/>
    <col min="5634" max="5634" width="4.453125" style="83" bestFit="1" customWidth="1"/>
    <col min="5635" max="5637" width="14.81640625" style="83" customWidth="1"/>
    <col min="5638" max="5638" width="16.54296875" style="83" customWidth="1"/>
    <col min="5639" max="5887" width="8.81640625" style="83"/>
    <col min="5888" max="5888" width="18.54296875" style="83" bestFit="1" customWidth="1"/>
    <col min="5889" max="5889" width="5.54296875" style="83" bestFit="1" customWidth="1"/>
    <col min="5890" max="5890" width="4.453125" style="83" bestFit="1" customWidth="1"/>
    <col min="5891" max="5893" width="14.81640625" style="83" customWidth="1"/>
    <col min="5894" max="5894" width="16.54296875" style="83" customWidth="1"/>
    <col min="5895" max="6143" width="8.81640625" style="83"/>
    <col min="6144" max="6144" width="18.54296875" style="83" bestFit="1" customWidth="1"/>
    <col min="6145" max="6145" width="5.54296875" style="83" bestFit="1" customWidth="1"/>
    <col min="6146" max="6146" width="4.453125" style="83" bestFit="1" customWidth="1"/>
    <col min="6147" max="6149" width="14.81640625" style="83" customWidth="1"/>
    <col min="6150" max="6150" width="16.54296875" style="83" customWidth="1"/>
    <col min="6151" max="6399" width="8.81640625" style="83"/>
    <col min="6400" max="6400" width="18.54296875" style="83" bestFit="1" customWidth="1"/>
    <col min="6401" max="6401" width="5.54296875" style="83" bestFit="1" customWidth="1"/>
    <col min="6402" max="6402" width="4.453125" style="83" bestFit="1" customWidth="1"/>
    <col min="6403" max="6405" width="14.81640625" style="83" customWidth="1"/>
    <col min="6406" max="6406" width="16.54296875" style="83" customWidth="1"/>
    <col min="6407" max="6655" width="8.81640625" style="83"/>
    <col min="6656" max="6656" width="18.54296875" style="83" bestFit="1" customWidth="1"/>
    <col min="6657" max="6657" width="5.54296875" style="83" bestFit="1" customWidth="1"/>
    <col min="6658" max="6658" width="4.453125" style="83" bestFit="1" customWidth="1"/>
    <col min="6659" max="6661" width="14.81640625" style="83" customWidth="1"/>
    <col min="6662" max="6662" width="16.54296875" style="83" customWidth="1"/>
    <col min="6663" max="6911" width="8.81640625" style="83"/>
    <col min="6912" max="6912" width="18.54296875" style="83" bestFit="1" customWidth="1"/>
    <col min="6913" max="6913" width="5.54296875" style="83" bestFit="1" customWidth="1"/>
    <col min="6914" max="6914" width="4.453125" style="83" bestFit="1" customWidth="1"/>
    <col min="6915" max="6917" width="14.81640625" style="83" customWidth="1"/>
    <col min="6918" max="6918" width="16.54296875" style="83" customWidth="1"/>
    <col min="6919" max="7167" width="8.81640625" style="83"/>
    <col min="7168" max="7168" width="18.54296875" style="83" bestFit="1" customWidth="1"/>
    <col min="7169" max="7169" width="5.54296875" style="83" bestFit="1" customWidth="1"/>
    <col min="7170" max="7170" width="4.453125" style="83" bestFit="1" customWidth="1"/>
    <col min="7171" max="7173" width="14.81640625" style="83" customWidth="1"/>
    <col min="7174" max="7174" width="16.54296875" style="83" customWidth="1"/>
    <col min="7175" max="7423" width="8.81640625" style="83"/>
    <col min="7424" max="7424" width="18.54296875" style="83" bestFit="1" customWidth="1"/>
    <col min="7425" max="7425" width="5.54296875" style="83" bestFit="1" customWidth="1"/>
    <col min="7426" max="7426" width="4.453125" style="83" bestFit="1" customWidth="1"/>
    <col min="7427" max="7429" width="14.81640625" style="83" customWidth="1"/>
    <col min="7430" max="7430" width="16.54296875" style="83" customWidth="1"/>
    <col min="7431" max="7679" width="8.81640625" style="83"/>
    <col min="7680" max="7680" width="18.54296875" style="83" bestFit="1" customWidth="1"/>
    <col min="7681" max="7681" width="5.54296875" style="83" bestFit="1" customWidth="1"/>
    <col min="7682" max="7682" width="4.453125" style="83" bestFit="1" customWidth="1"/>
    <col min="7683" max="7685" width="14.81640625" style="83" customWidth="1"/>
    <col min="7686" max="7686" width="16.54296875" style="83" customWidth="1"/>
    <col min="7687" max="7935" width="8.81640625" style="83"/>
    <col min="7936" max="7936" width="18.54296875" style="83" bestFit="1" customWidth="1"/>
    <col min="7937" max="7937" width="5.54296875" style="83" bestFit="1" customWidth="1"/>
    <col min="7938" max="7938" width="4.453125" style="83" bestFit="1" customWidth="1"/>
    <col min="7939" max="7941" width="14.81640625" style="83" customWidth="1"/>
    <col min="7942" max="7942" width="16.54296875" style="83" customWidth="1"/>
    <col min="7943" max="8191" width="8.81640625" style="83"/>
    <col min="8192" max="8192" width="18.54296875" style="83" bestFit="1" customWidth="1"/>
    <col min="8193" max="8193" width="5.54296875" style="83" bestFit="1" customWidth="1"/>
    <col min="8194" max="8194" width="4.453125" style="83" bestFit="1" customWidth="1"/>
    <col min="8195" max="8197" width="14.81640625" style="83" customWidth="1"/>
    <col min="8198" max="8198" width="16.54296875" style="83" customWidth="1"/>
    <col min="8199" max="8447" width="8.81640625" style="83"/>
    <col min="8448" max="8448" width="18.54296875" style="83" bestFit="1" customWidth="1"/>
    <col min="8449" max="8449" width="5.54296875" style="83" bestFit="1" customWidth="1"/>
    <col min="8450" max="8450" width="4.453125" style="83" bestFit="1" customWidth="1"/>
    <col min="8451" max="8453" width="14.81640625" style="83" customWidth="1"/>
    <col min="8454" max="8454" width="16.54296875" style="83" customWidth="1"/>
    <col min="8455" max="8703" width="8.81640625" style="83"/>
    <col min="8704" max="8704" width="18.54296875" style="83" bestFit="1" customWidth="1"/>
    <col min="8705" max="8705" width="5.54296875" style="83" bestFit="1" customWidth="1"/>
    <col min="8706" max="8706" width="4.453125" style="83" bestFit="1" customWidth="1"/>
    <col min="8707" max="8709" width="14.81640625" style="83" customWidth="1"/>
    <col min="8710" max="8710" width="16.54296875" style="83" customWidth="1"/>
    <col min="8711" max="8959" width="8.81640625" style="83"/>
    <col min="8960" max="8960" width="18.54296875" style="83" bestFit="1" customWidth="1"/>
    <col min="8961" max="8961" width="5.54296875" style="83" bestFit="1" customWidth="1"/>
    <col min="8962" max="8962" width="4.453125" style="83" bestFit="1" customWidth="1"/>
    <col min="8963" max="8965" width="14.81640625" style="83" customWidth="1"/>
    <col min="8966" max="8966" width="16.54296875" style="83" customWidth="1"/>
    <col min="8967" max="9215" width="8.81640625" style="83"/>
    <col min="9216" max="9216" width="18.54296875" style="83" bestFit="1" customWidth="1"/>
    <col min="9217" max="9217" width="5.54296875" style="83" bestFit="1" customWidth="1"/>
    <col min="9218" max="9218" width="4.453125" style="83" bestFit="1" customWidth="1"/>
    <col min="9219" max="9221" width="14.81640625" style="83" customWidth="1"/>
    <col min="9222" max="9222" width="16.54296875" style="83" customWidth="1"/>
    <col min="9223" max="9471" width="8.81640625" style="83"/>
    <col min="9472" max="9472" width="18.54296875" style="83" bestFit="1" customWidth="1"/>
    <col min="9473" max="9473" width="5.54296875" style="83" bestFit="1" customWidth="1"/>
    <col min="9474" max="9474" width="4.453125" style="83" bestFit="1" customWidth="1"/>
    <col min="9475" max="9477" width="14.81640625" style="83" customWidth="1"/>
    <col min="9478" max="9478" width="16.54296875" style="83" customWidth="1"/>
    <col min="9479" max="9727" width="8.81640625" style="83"/>
    <col min="9728" max="9728" width="18.54296875" style="83" bestFit="1" customWidth="1"/>
    <col min="9729" max="9729" width="5.54296875" style="83" bestFit="1" customWidth="1"/>
    <col min="9730" max="9730" width="4.453125" style="83" bestFit="1" customWidth="1"/>
    <col min="9731" max="9733" width="14.81640625" style="83" customWidth="1"/>
    <col min="9734" max="9734" width="16.54296875" style="83" customWidth="1"/>
    <col min="9735" max="9983" width="8.81640625" style="83"/>
    <col min="9984" max="9984" width="18.54296875" style="83" bestFit="1" customWidth="1"/>
    <col min="9985" max="9985" width="5.54296875" style="83" bestFit="1" customWidth="1"/>
    <col min="9986" max="9986" width="4.453125" style="83" bestFit="1" customWidth="1"/>
    <col min="9987" max="9989" width="14.81640625" style="83" customWidth="1"/>
    <col min="9990" max="9990" width="16.54296875" style="83" customWidth="1"/>
    <col min="9991" max="10239" width="8.81640625" style="83"/>
    <col min="10240" max="10240" width="18.54296875" style="83" bestFit="1" customWidth="1"/>
    <col min="10241" max="10241" width="5.54296875" style="83" bestFit="1" customWidth="1"/>
    <col min="10242" max="10242" width="4.453125" style="83" bestFit="1" customWidth="1"/>
    <col min="10243" max="10245" width="14.81640625" style="83" customWidth="1"/>
    <col min="10246" max="10246" width="16.54296875" style="83" customWidth="1"/>
    <col min="10247" max="10495" width="8.81640625" style="83"/>
    <col min="10496" max="10496" width="18.54296875" style="83" bestFit="1" customWidth="1"/>
    <col min="10497" max="10497" width="5.54296875" style="83" bestFit="1" customWidth="1"/>
    <col min="10498" max="10498" width="4.453125" style="83" bestFit="1" customWidth="1"/>
    <col min="10499" max="10501" width="14.81640625" style="83" customWidth="1"/>
    <col min="10502" max="10502" width="16.54296875" style="83" customWidth="1"/>
    <col min="10503" max="10751" width="8.81640625" style="83"/>
    <col min="10752" max="10752" width="18.54296875" style="83" bestFit="1" customWidth="1"/>
    <col min="10753" max="10753" width="5.54296875" style="83" bestFit="1" customWidth="1"/>
    <col min="10754" max="10754" width="4.453125" style="83" bestFit="1" customWidth="1"/>
    <col min="10755" max="10757" width="14.81640625" style="83" customWidth="1"/>
    <col min="10758" max="10758" width="16.54296875" style="83" customWidth="1"/>
    <col min="10759" max="11007" width="8.81640625" style="83"/>
    <col min="11008" max="11008" width="18.54296875" style="83" bestFit="1" customWidth="1"/>
    <col min="11009" max="11009" width="5.54296875" style="83" bestFit="1" customWidth="1"/>
    <col min="11010" max="11010" width="4.453125" style="83" bestFit="1" customWidth="1"/>
    <col min="11011" max="11013" width="14.81640625" style="83" customWidth="1"/>
    <col min="11014" max="11014" width="16.54296875" style="83" customWidth="1"/>
    <col min="11015" max="11263" width="8.81640625" style="83"/>
    <col min="11264" max="11264" width="18.54296875" style="83" bestFit="1" customWidth="1"/>
    <col min="11265" max="11265" width="5.54296875" style="83" bestFit="1" customWidth="1"/>
    <col min="11266" max="11266" width="4.453125" style="83" bestFit="1" customWidth="1"/>
    <col min="11267" max="11269" width="14.81640625" style="83" customWidth="1"/>
    <col min="11270" max="11270" width="16.54296875" style="83" customWidth="1"/>
    <col min="11271" max="11519" width="8.81640625" style="83"/>
    <col min="11520" max="11520" width="18.54296875" style="83" bestFit="1" customWidth="1"/>
    <col min="11521" max="11521" width="5.54296875" style="83" bestFit="1" customWidth="1"/>
    <col min="11522" max="11522" width="4.453125" style="83" bestFit="1" customWidth="1"/>
    <col min="11523" max="11525" width="14.81640625" style="83" customWidth="1"/>
    <col min="11526" max="11526" width="16.54296875" style="83" customWidth="1"/>
    <col min="11527" max="11775" width="8.81640625" style="83"/>
    <col min="11776" max="11776" width="18.54296875" style="83" bestFit="1" customWidth="1"/>
    <col min="11777" max="11777" width="5.54296875" style="83" bestFit="1" customWidth="1"/>
    <col min="11778" max="11778" width="4.453125" style="83" bestFit="1" customWidth="1"/>
    <col min="11779" max="11781" width="14.81640625" style="83" customWidth="1"/>
    <col min="11782" max="11782" width="16.54296875" style="83" customWidth="1"/>
    <col min="11783" max="12031" width="8.81640625" style="83"/>
    <col min="12032" max="12032" width="18.54296875" style="83" bestFit="1" customWidth="1"/>
    <col min="12033" max="12033" width="5.54296875" style="83" bestFit="1" customWidth="1"/>
    <col min="12034" max="12034" width="4.453125" style="83" bestFit="1" customWidth="1"/>
    <col min="12035" max="12037" width="14.81640625" style="83" customWidth="1"/>
    <col min="12038" max="12038" width="16.54296875" style="83" customWidth="1"/>
    <col min="12039" max="12287" width="8.81640625" style="83"/>
    <col min="12288" max="12288" width="18.54296875" style="83" bestFit="1" customWidth="1"/>
    <col min="12289" max="12289" width="5.54296875" style="83" bestFit="1" customWidth="1"/>
    <col min="12290" max="12290" width="4.453125" style="83" bestFit="1" customWidth="1"/>
    <col min="12291" max="12293" width="14.81640625" style="83" customWidth="1"/>
    <col min="12294" max="12294" width="16.54296875" style="83" customWidth="1"/>
    <col min="12295" max="12543" width="8.81640625" style="83"/>
    <col min="12544" max="12544" width="18.54296875" style="83" bestFit="1" customWidth="1"/>
    <col min="12545" max="12545" width="5.54296875" style="83" bestFit="1" customWidth="1"/>
    <col min="12546" max="12546" width="4.453125" style="83" bestFit="1" customWidth="1"/>
    <col min="12547" max="12549" width="14.81640625" style="83" customWidth="1"/>
    <col min="12550" max="12550" width="16.54296875" style="83" customWidth="1"/>
    <col min="12551" max="12799" width="8.81640625" style="83"/>
    <col min="12800" max="12800" width="18.54296875" style="83" bestFit="1" customWidth="1"/>
    <col min="12801" max="12801" width="5.54296875" style="83" bestFit="1" customWidth="1"/>
    <col min="12802" max="12802" width="4.453125" style="83" bestFit="1" customWidth="1"/>
    <col min="12803" max="12805" width="14.81640625" style="83" customWidth="1"/>
    <col min="12806" max="12806" width="16.54296875" style="83" customWidth="1"/>
    <col min="12807" max="13055" width="8.81640625" style="83"/>
    <col min="13056" max="13056" width="18.54296875" style="83" bestFit="1" customWidth="1"/>
    <col min="13057" max="13057" width="5.54296875" style="83" bestFit="1" customWidth="1"/>
    <col min="13058" max="13058" width="4.453125" style="83" bestFit="1" customWidth="1"/>
    <col min="13059" max="13061" width="14.81640625" style="83" customWidth="1"/>
    <col min="13062" max="13062" width="16.54296875" style="83" customWidth="1"/>
    <col min="13063" max="13311" width="8.81640625" style="83"/>
    <col min="13312" max="13312" width="18.54296875" style="83" bestFit="1" customWidth="1"/>
    <col min="13313" max="13313" width="5.54296875" style="83" bestFit="1" customWidth="1"/>
    <col min="13314" max="13314" width="4.453125" style="83" bestFit="1" customWidth="1"/>
    <col min="13315" max="13317" width="14.81640625" style="83" customWidth="1"/>
    <col min="13318" max="13318" width="16.54296875" style="83" customWidth="1"/>
    <col min="13319" max="13567" width="8.81640625" style="83"/>
    <col min="13568" max="13568" width="18.54296875" style="83" bestFit="1" customWidth="1"/>
    <col min="13569" max="13569" width="5.54296875" style="83" bestFit="1" customWidth="1"/>
    <col min="13570" max="13570" width="4.453125" style="83" bestFit="1" customWidth="1"/>
    <col min="13571" max="13573" width="14.81640625" style="83" customWidth="1"/>
    <col min="13574" max="13574" width="16.54296875" style="83" customWidth="1"/>
    <col min="13575" max="13823" width="8.81640625" style="83"/>
    <col min="13824" max="13824" width="18.54296875" style="83" bestFit="1" customWidth="1"/>
    <col min="13825" max="13825" width="5.54296875" style="83" bestFit="1" customWidth="1"/>
    <col min="13826" max="13826" width="4.453125" style="83" bestFit="1" customWidth="1"/>
    <col min="13827" max="13829" width="14.81640625" style="83" customWidth="1"/>
    <col min="13830" max="13830" width="16.54296875" style="83" customWidth="1"/>
    <col min="13831" max="14079" width="8.81640625" style="83"/>
    <col min="14080" max="14080" width="18.54296875" style="83" bestFit="1" customWidth="1"/>
    <col min="14081" max="14081" width="5.54296875" style="83" bestFit="1" customWidth="1"/>
    <col min="14082" max="14082" width="4.453125" style="83" bestFit="1" customWidth="1"/>
    <col min="14083" max="14085" width="14.81640625" style="83" customWidth="1"/>
    <col min="14086" max="14086" width="16.54296875" style="83" customWidth="1"/>
    <col min="14087" max="14335" width="8.81640625" style="83"/>
    <col min="14336" max="14336" width="18.54296875" style="83" bestFit="1" customWidth="1"/>
    <col min="14337" max="14337" width="5.54296875" style="83" bestFit="1" customWidth="1"/>
    <col min="14338" max="14338" width="4.453125" style="83" bestFit="1" customWidth="1"/>
    <col min="14339" max="14341" width="14.81640625" style="83" customWidth="1"/>
    <col min="14342" max="14342" width="16.54296875" style="83" customWidth="1"/>
    <col min="14343" max="14591" width="8.81640625" style="83"/>
    <col min="14592" max="14592" width="18.54296875" style="83" bestFit="1" customWidth="1"/>
    <col min="14593" max="14593" width="5.54296875" style="83" bestFit="1" customWidth="1"/>
    <col min="14594" max="14594" width="4.453125" style="83" bestFit="1" customWidth="1"/>
    <col min="14595" max="14597" width="14.81640625" style="83" customWidth="1"/>
    <col min="14598" max="14598" width="16.54296875" style="83" customWidth="1"/>
    <col min="14599" max="14847" width="8.81640625" style="83"/>
    <col min="14848" max="14848" width="18.54296875" style="83" bestFit="1" customWidth="1"/>
    <col min="14849" max="14849" width="5.54296875" style="83" bestFit="1" customWidth="1"/>
    <col min="14850" max="14850" width="4.453125" style="83" bestFit="1" customWidth="1"/>
    <col min="14851" max="14853" width="14.81640625" style="83" customWidth="1"/>
    <col min="14854" max="14854" width="16.54296875" style="83" customWidth="1"/>
    <col min="14855" max="15103" width="8.81640625" style="83"/>
    <col min="15104" max="15104" width="18.54296875" style="83" bestFit="1" customWidth="1"/>
    <col min="15105" max="15105" width="5.54296875" style="83" bestFit="1" customWidth="1"/>
    <col min="15106" max="15106" width="4.453125" style="83" bestFit="1" customWidth="1"/>
    <col min="15107" max="15109" width="14.81640625" style="83" customWidth="1"/>
    <col min="15110" max="15110" width="16.54296875" style="83" customWidth="1"/>
    <col min="15111" max="15359" width="8.81640625" style="83"/>
    <col min="15360" max="15360" width="18.54296875" style="83" bestFit="1" customWidth="1"/>
    <col min="15361" max="15361" width="5.54296875" style="83" bestFit="1" customWidth="1"/>
    <col min="15362" max="15362" width="4.453125" style="83" bestFit="1" customWidth="1"/>
    <col min="15363" max="15365" width="14.81640625" style="83" customWidth="1"/>
    <col min="15366" max="15366" width="16.54296875" style="83" customWidth="1"/>
    <col min="15367" max="15615" width="8.81640625" style="83"/>
    <col min="15616" max="15616" width="18.54296875" style="83" bestFit="1" customWidth="1"/>
    <col min="15617" max="15617" width="5.54296875" style="83" bestFit="1" customWidth="1"/>
    <col min="15618" max="15618" width="4.453125" style="83" bestFit="1" customWidth="1"/>
    <col min="15619" max="15621" width="14.81640625" style="83" customWidth="1"/>
    <col min="15622" max="15622" width="16.54296875" style="83" customWidth="1"/>
    <col min="15623" max="15871" width="8.81640625" style="83"/>
    <col min="15872" max="15872" width="18.54296875" style="83" bestFit="1" customWidth="1"/>
    <col min="15873" max="15873" width="5.54296875" style="83" bestFit="1" customWidth="1"/>
    <col min="15874" max="15874" width="4.453125" style="83" bestFit="1" customWidth="1"/>
    <col min="15875" max="15877" width="14.81640625" style="83" customWidth="1"/>
    <col min="15878" max="15878" width="16.54296875" style="83" customWidth="1"/>
    <col min="15879" max="16127" width="8.81640625" style="83"/>
    <col min="16128" max="16128" width="18.54296875" style="83" bestFit="1" customWidth="1"/>
    <col min="16129" max="16129" width="5.54296875" style="83" bestFit="1" customWidth="1"/>
    <col min="16130" max="16130" width="4.453125" style="83" bestFit="1" customWidth="1"/>
    <col min="16131" max="16133" width="14.81640625" style="83" customWidth="1"/>
    <col min="16134" max="16134" width="16.54296875" style="83" customWidth="1"/>
    <col min="16135" max="16384" width="8.81640625" style="83"/>
  </cols>
  <sheetData>
    <row r="1" spans="1:19" ht="23.25" customHeight="1">
      <c r="A1" s="109"/>
      <c r="B1" s="109"/>
      <c r="C1" s="109"/>
      <c r="D1" s="109"/>
      <c r="E1" s="109"/>
      <c r="F1" s="109"/>
      <c r="G1" s="109"/>
      <c r="H1" s="109"/>
      <c r="I1" s="109"/>
      <c r="J1" s="109"/>
      <c r="K1" s="109"/>
      <c r="L1" s="109"/>
      <c r="M1" s="109"/>
      <c r="N1" s="109"/>
      <c r="O1" s="109"/>
      <c r="P1" s="109"/>
      <c r="Q1" s="109"/>
    </row>
    <row r="2" spans="1:19" ht="54" customHeight="1">
      <c r="A2" s="405" t="s">
        <v>103</v>
      </c>
      <c r="B2" s="405"/>
      <c r="C2" s="405"/>
      <c r="D2" s="405"/>
      <c r="E2" s="405"/>
      <c r="F2" s="405"/>
      <c r="G2" s="405" t="s">
        <v>104</v>
      </c>
      <c r="H2" s="405"/>
      <c r="I2" s="405"/>
      <c r="J2" s="405"/>
      <c r="K2" s="405"/>
      <c r="L2" s="405"/>
      <c r="M2" s="405"/>
      <c r="N2" s="405"/>
      <c r="O2" s="405"/>
      <c r="P2" s="405"/>
      <c r="Q2" s="405"/>
    </row>
    <row r="3" spans="1:19" ht="18" customHeight="1">
      <c r="A3" s="403" t="s">
        <v>105</v>
      </c>
      <c r="B3" s="404"/>
      <c r="C3" s="404"/>
      <c r="D3" s="404"/>
      <c r="E3" s="404"/>
      <c r="F3" s="404"/>
      <c r="G3" s="406">
        <f>'Enterprise Budget'!E2</f>
        <v>21000</v>
      </c>
      <c r="H3" s="407"/>
      <c r="I3" s="113" t="s">
        <v>110</v>
      </c>
      <c r="J3" s="406">
        <f>'Enterprise Budget'!F2</f>
        <v>24000</v>
      </c>
      <c r="K3" s="407"/>
      <c r="L3" s="113" t="s">
        <v>110</v>
      </c>
      <c r="M3" s="406">
        <f>'Enterprise Budget'!G2</f>
        <v>27000</v>
      </c>
      <c r="N3" s="407"/>
      <c r="O3" s="113" t="s">
        <v>110</v>
      </c>
      <c r="P3"/>
      <c r="Q3"/>
      <c r="R3"/>
      <c r="S3"/>
    </row>
    <row r="4" spans="1:19" ht="15.5">
      <c r="A4" s="84"/>
      <c r="B4" s="85"/>
      <c r="C4" s="85"/>
      <c r="D4" s="85"/>
      <c r="E4" s="85"/>
      <c r="F4" s="85"/>
      <c r="G4" s="90" t="s">
        <v>94</v>
      </c>
      <c r="H4" s="91" t="s">
        <v>95</v>
      </c>
      <c r="I4" s="114">
        <f>SUM(I6:I55)</f>
        <v>1490.2874677605248</v>
      </c>
      <c r="J4" s="90" t="s">
        <v>94</v>
      </c>
      <c r="K4" s="91" t="s">
        <v>95</v>
      </c>
      <c r="L4" s="114">
        <f>SUM(L6:L55)</f>
        <v>1651.9430692847325</v>
      </c>
      <c r="M4" s="90" t="s">
        <v>94</v>
      </c>
      <c r="N4" s="91" t="s">
        <v>95</v>
      </c>
      <c r="O4" s="114">
        <f>SUM(O6:O55)</f>
        <v>1778.518849230637</v>
      </c>
      <c r="P4" s="90" t="s">
        <v>96</v>
      </c>
      <c r="Q4" s="92" t="s">
        <v>97</v>
      </c>
      <c r="R4"/>
      <c r="S4"/>
    </row>
    <row r="5" spans="1:19" ht="43.5" customHeight="1">
      <c r="A5" s="99" t="s">
        <v>44</v>
      </c>
      <c r="B5" s="100" t="s">
        <v>45</v>
      </c>
      <c r="C5" s="112" t="s">
        <v>46</v>
      </c>
      <c r="D5" s="110" t="s">
        <v>109</v>
      </c>
      <c r="E5" s="110" t="s">
        <v>107</v>
      </c>
      <c r="F5" s="108" t="s">
        <v>106</v>
      </c>
      <c r="G5" s="368" t="s">
        <v>98</v>
      </c>
      <c r="H5" s="368" t="s">
        <v>99</v>
      </c>
      <c r="I5" s="368"/>
      <c r="J5" s="368" t="s">
        <v>98</v>
      </c>
      <c r="K5" s="368" t="s">
        <v>99</v>
      </c>
      <c r="L5" s="368"/>
      <c r="M5" s="368" t="s">
        <v>98</v>
      </c>
      <c r="N5" s="368" t="s">
        <v>99</v>
      </c>
      <c r="O5" s="368"/>
      <c r="P5" s="369" t="s">
        <v>98</v>
      </c>
      <c r="Q5" s="93" t="s">
        <v>99</v>
      </c>
      <c r="R5"/>
      <c r="S5"/>
    </row>
    <row r="6" spans="1:19">
      <c r="A6" s="101" t="s">
        <v>100</v>
      </c>
      <c r="B6" s="104">
        <v>0.9</v>
      </c>
      <c r="C6" s="102" t="s">
        <v>102</v>
      </c>
      <c r="D6" s="102">
        <f>IF(C6="lb",1,IF(C6="cwt",100,IF(C6="ton",2000,0)))</f>
        <v>1</v>
      </c>
      <c r="E6" s="103">
        <v>0</v>
      </c>
      <c r="F6" s="106">
        <v>0.6</v>
      </c>
      <c r="G6" s="370">
        <v>0</v>
      </c>
      <c r="H6" s="371">
        <f>IF($B6&gt;0,(((((G6/$B6)*365)/$D6)/(1-$E6))*0.85)+($Q6*0.15),0)</f>
        <v>2.4749999999999992</v>
      </c>
      <c r="I6" s="371">
        <f>IF(H6&gt;0,$F6*H6,0)</f>
        <v>1.4849999999999994</v>
      </c>
      <c r="J6" s="370">
        <v>0.46899999999999997</v>
      </c>
      <c r="K6" s="371">
        <f>IF($B6&gt;0,(((((J6/$B6)*365)/$D6)/(1-$E6))*0.85)+($Q6*0.15),0)</f>
        <v>164.14972222222221</v>
      </c>
      <c r="L6" s="371">
        <f>IF(K6&gt;0,$F6*K6,0)</f>
        <v>98.489833333333323</v>
      </c>
      <c r="M6" s="370">
        <v>0.47699999999999998</v>
      </c>
      <c r="N6" s="371">
        <f>IF($B6&gt;0,(((((M6/$B6)*365)/$D6)/(1-$E6))*0.85)+($Q6*0.15),0)</f>
        <v>166.90749999999994</v>
      </c>
      <c r="O6" s="371">
        <f>IF(N6&gt;0,$F6*N6,0)</f>
        <v>100.14449999999997</v>
      </c>
      <c r="P6" s="370">
        <v>0.2475</v>
      </c>
      <c r="Q6" s="94">
        <f>IF($B6&gt;0,((((P6/$B6)*60)/$D6)/(1-E6)),0)</f>
        <v>16.499999999999996</v>
      </c>
      <c r="R6"/>
      <c r="S6"/>
    </row>
    <row r="7" spans="1:19">
      <c r="A7" s="101" t="s">
        <v>101</v>
      </c>
      <c r="B7" s="104">
        <v>0.9</v>
      </c>
      <c r="C7" s="102" t="s">
        <v>102</v>
      </c>
      <c r="D7" s="102">
        <f t="shared" ref="D7:D54" si="0">IF(C7="lb",1,IF(C7="cwt",100,IF(C7="ton",2000,0)))</f>
        <v>1</v>
      </c>
      <c r="E7" s="103">
        <v>0.02</v>
      </c>
      <c r="F7" s="106">
        <v>0.2</v>
      </c>
      <c r="G7" s="370">
        <v>1.4450000000000001</v>
      </c>
      <c r="H7" s="371">
        <f t="shared" ref="H7:H55" si="1">IF($B7&gt;0,(((((G7/$B7)*365)/$D7)/(1-$E7))*0.85)+($Q7*0.15),0)</f>
        <v>512.18735827664409</v>
      </c>
      <c r="I7" s="371">
        <f t="shared" ref="I7:I55" si="2">IF(H7&gt;0,$F7*H7,0)</f>
        <v>102.43747165532882</v>
      </c>
      <c r="J7" s="370">
        <v>1.5289999999999999</v>
      </c>
      <c r="K7" s="371">
        <f t="shared" ref="K7:K55" si="3">IF($B7&gt;0,(((((J7/$B7)*365)/$D7)/(1-$E7))*0.85)+($Q7*0.15),0)</f>
        <v>541.7349773242629</v>
      </c>
      <c r="L7" s="371">
        <f t="shared" ref="L7:L55" si="4">IF(K7&gt;0,$F7*K7,0)</f>
        <v>108.34699546485258</v>
      </c>
      <c r="M7" s="370">
        <v>1.609</v>
      </c>
      <c r="N7" s="371">
        <f t="shared" ref="N7:N55" si="5">IF($B7&gt;0,(((((M7/$B7)*365)/$D7)/(1-$E7))*0.85)+($Q7*0.15),0)</f>
        <v>569.87556689342409</v>
      </c>
      <c r="O7" s="371">
        <f t="shared" ref="O7:O55" si="6">IF(N7&gt;0,$F7*N7,0)</f>
        <v>113.97511337868482</v>
      </c>
      <c r="P7" s="372">
        <v>0.38200000000000001</v>
      </c>
      <c r="Q7" s="94">
        <f t="shared" ref="Q7:Q38" si="7">((((P7/$B7)*60)/$D7)/(1-E7))</f>
        <v>25.986394557823132</v>
      </c>
      <c r="R7"/>
      <c r="S7"/>
    </row>
    <row r="8" spans="1:19">
      <c r="A8" s="101"/>
      <c r="B8" s="104"/>
      <c r="C8" s="102"/>
      <c r="D8" s="102">
        <f t="shared" si="0"/>
        <v>0</v>
      </c>
      <c r="E8" s="103"/>
      <c r="F8" s="106"/>
      <c r="G8" s="373"/>
      <c r="H8" s="371">
        <f t="shared" si="1"/>
        <v>0</v>
      </c>
      <c r="I8" s="371">
        <f t="shared" si="2"/>
        <v>0</v>
      </c>
      <c r="J8" s="373"/>
      <c r="K8" s="371">
        <f t="shared" si="3"/>
        <v>0</v>
      </c>
      <c r="L8" s="371">
        <f t="shared" si="4"/>
        <v>0</v>
      </c>
      <c r="M8" s="373"/>
      <c r="N8" s="371">
        <f t="shared" si="5"/>
        <v>0</v>
      </c>
      <c r="O8" s="371">
        <f t="shared" si="6"/>
        <v>0</v>
      </c>
      <c r="P8" s="373"/>
      <c r="Q8" s="94" t="e">
        <f t="shared" si="7"/>
        <v>#DIV/0!</v>
      </c>
      <c r="R8"/>
      <c r="S8"/>
    </row>
    <row r="9" spans="1:19">
      <c r="A9" s="101"/>
      <c r="B9" s="104"/>
      <c r="C9" s="102"/>
      <c r="D9" s="102">
        <f t="shared" si="0"/>
        <v>0</v>
      </c>
      <c r="E9" s="103"/>
      <c r="F9" s="106"/>
      <c r="G9" s="373"/>
      <c r="H9" s="371">
        <f t="shared" si="1"/>
        <v>0</v>
      </c>
      <c r="I9" s="371">
        <f t="shared" si="2"/>
        <v>0</v>
      </c>
      <c r="J9" s="373"/>
      <c r="K9" s="371">
        <f t="shared" si="3"/>
        <v>0</v>
      </c>
      <c r="L9" s="371">
        <f t="shared" si="4"/>
        <v>0</v>
      </c>
      <c r="M9" s="373"/>
      <c r="N9" s="371">
        <f t="shared" si="5"/>
        <v>0</v>
      </c>
      <c r="O9" s="371">
        <f t="shared" si="6"/>
        <v>0</v>
      </c>
      <c r="P9" s="373"/>
      <c r="Q9" s="94" t="e">
        <f t="shared" si="7"/>
        <v>#DIV/0!</v>
      </c>
      <c r="R9"/>
      <c r="S9"/>
    </row>
    <row r="10" spans="1:19">
      <c r="A10" s="101"/>
      <c r="B10" s="104"/>
      <c r="C10" s="102"/>
      <c r="D10" s="102">
        <f t="shared" si="0"/>
        <v>0</v>
      </c>
      <c r="E10" s="103"/>
      <c r="F10" s="106"/>
      <c r="G10" s="373"/>
      <c r="H10" s="371">
        <f t="shared" si="1"/>
        <v>0</v>
      </c>
      <c r="I10" s="371">
        <f t="shared" si="2"/>
        <v>0</v>
      </c>
      <c r="J10" s="373"/>
      <c r="K10" s="371">
        <f t="shared" si="3"/>
        <v>0</v>
      </c>
      <c r="L10" s="371">
        <f t="shared" si="4"/>
        <v>0</v>
      </c>
      <c r="M10" s="373"/>
      <c r="N10" s="371">
        <f t="shared" si="5"/>
        <v>0</v>
      </c>
      <c r="O10" s="371">
        <f t="shared" si="6"/>
        <v>0</v>
      </c>
      <c r="P10" s="373"/>
      <c r="Q10" s="94" t="e">
        <f t="shared" si="7"/>
        <v>#DIV/0!</v>
      </c>
      <c r="R10"/>
      <c r="S10"/>
    </row>
    <row r="11" spans="1:19">
      <c r="A11" s="101"/>
      <c r="B11" s="104"/>
      <c r="C11" s="102"/>
      <c r="D11" s="102">
        <f t="shared" si="0"/>
        <v>0</v>
      </c>
      <c r="E11" s="103"/>
      <c r="F11" s="106"/>
      <c r="G11" s="373"/>
      <c r="H11" s="371">
        <f t="shared" si="1"/>
        <v>0</v>
      </c>
      <c r="I11" s="371">
        <f t="shared" si="2"/>
        <v>0</v>
      </c>
      <c r="J11" s="373"/>
      <c r="K11" s="371">
        <f t="shared" si="3"/>
        <v>0</v>
      </c>
      <c r="L11" s="371">
        <f t="shared" si="4"/>
        <v>0</v>
      </c>
      <c r="M11" s="373"/>
      <c r="N11" s="371">
        <f t="shared" si="5"/>
        <v>0</v>
      </c>
      <c r="O11" s="371">
        <f t="shared" si="6"/>
        <v>0</v>
      </c>
      <c r="P11" s="373"/>
      <c r="Q11" s="94" t="e">
        <f t="shared" si="7"/>
        <v>#DIV/0!</v>
      </c>
      <c r="R11"/>
      <c r="S11"/>
    </row>
    <row r="12" spans="1:19">
      <c r="A12" s="101"/>
      <c r="B12" s="104"/>
      <c r="C12" s="102"/>
      <c r="D12" s="102">
        <f t="shared" si="0"/>
        <v>0</v>
      </c>
      <c r="E12" s="103"/>
      <c r="F12" s="106"/>
      <c r="G12" s="373"/>
      <c r="H12" s="371">
        <f t="shared" si="1"/>
        <v>0</v>
      </c>
      <c r="I12" s="371">
        <f t="shared" si="2"/>
        <v>0</v>
      </c>
      <c r="J12" s="373"/>
      <c r="K12" s="371">
        <f t="shared" si="3"/>
        <v>0</v>
      </c>
      <c r="L12" s="371">
        <f t="shared" si="4"/>
        <v>0</v>
      </c>
      <c r="M12" s="373"/>
      <c r="N12" s="371">
        <f t="shared" si="5"/>
        <v>0</v>
      </c>
      <c r="O12" s="371">
        <f t="shared" si="6"/>
        <v>0</v>
      </c>
      <c r="P12" s="373"/>
      <c r="Q12" s="94" t="e">
        <f t="shared" si="7"/>
        <v>#DIV/0!</v>
      </c>
      <c r="R12"/>
      <c r="S12"/>
    </row>
    <row r="13" spans="1:19">
      <c r="A13" s="101"/>
      <c r="B13" s="104"/>
      <c r="C13" s="102"/>
      <c r="D13" s="102">
        <f t="shared" si="0"/>
        <v>0</v>
      </c>
      <c r="E13" s="103"/>
      <c r="F13" s="106"/>
      <c r="G13" s="373"/>
      <c r="H13" s="371">
        <f t="shared" si="1"/>
        <v>0</v>
      </c>
      <c r="I13" s="371">
        <f t="shared" si="2"/>
        <v>0</v>
      </c>
      <c r="J13" s="373"/>
      <c r="K13" s="371">
        <f t="shared" si="3"/>
        <v>0</v>
      </c>
      <c r="L13" s="371">
        <f t="shared" si="4"/>
        <v>0</v>
      </c>
      <c r="M13" s="373"/>
      <c r="N13" s="371">
        <f t="shared" si="5"/>
        <v>0</v>
      </c>
      <c r="O13" s="371">
        <f t="shared" si="6"/>
        <v>0</v>
      </c>
      <c r="P13" s="373"/>
      <c r="Q13" s="94" t="e">
        <f t="shared" si="7"/>
        <v>#DIV/0!</v>
      </c>
      <c r="R13"/>
      <c r="S13"/>
    </row>
    <row r="14" spans="1:19">
      <c r="A14" s="101"/>
      <c r="B14" s="104"/>
      <c r="C14" s="102"/>
      <c r="D14" s="102">
        <f t="shared" si="0"/>
        <v>0</v>
      </c>
      <c r="E14" s="103"/>
      <c r="F14" s="106"/>
      <c r="G14" s="373"/>
      <c r="H14" s="371">
        <f t="shared" si="1"/>
        <v>0</v>
      </c>
      <c r="I14" s="371">
        <f t="shared" si="2"/>
        <v>0</v>
      </c>
      <c r="J14" s="373"/>
      <c r="K14" s="371">
        <f t="shared" si="3"/>
        <v>0</v>
      </c>
      <c r="L14" s="371">
        <f t="shared" si="4"/>
        <v>0</v>
      </c>
      <c r="M14" s="373"/>
      <c r="N14" s="371">
        <f t="shared" si="5"/>
        <v>0</v>
      </c>
      <c r="O14" s="371">
        <f t="shared" si="6"/>
        <v>0</v>
      </c>
      <c r="P14" s="373"/>
      <c r="Q14" s="94" t="e">
        <f t="shared" si="7"/>
        <v>#DIV/0!</v>
      </c>
      <c r="R14"/>
      <c r="S14"/>
    </row>
    <row r="15" spans="1:19">
      <c r="A15" s="95" t="s">
        <v>68</v>
      </c>
      <c r="B15" s="105">
        <v>0.89</v>
      </c>
      <c r="C15" s="95" t="s">
        <v>69</v>
      </c>
      <c r="D15" s="102">
        <f t="shared" si="0"/>
        <v>100</v>
      </c>
      <c r="E15" s="103"/>
      <c r="F15" s="107">
        <v>10.5</v>
      </c>
      <c r="G15" s="374"/>
      <c r="H15" s="371">
        <f t="shared" si="1"/>
        <v>0</v>
      </c>
      <c r="I15" s="371">
        <f t="shared" si="2"/>
        <v>0</v>
      </c>
      <c r="J15" s="374"/>
      <c r="K15" s="371">
        <f t="shared" si="3"/>
        <v>0</v>
      </c>
      <c r="L15" s="371">
        <f t="shared" si="4"/>
        <v>0</v>
      </c>
      <c r="M15" s="374"/>
      <c r="N15" s="371">
        <f t="shared" si="5"/>
        <v>0</v>
      </c>
      <c r="O15" s="371">
        <f t="shared" si="6"/>
        <v>0</v>
      </c>
      <c r="P15" s="374"/>
      <c r="Q15" s="94">
        <f t="shared" si="7"/>
        <v>0</v>
      </c>
      <c r="R15"/>
      <c r="S15"/>
    </row>
    <row r="16" spans="1:19">
      <c r="A16" s="95" t="s">
        <v>59</v>
      </c>
      <c r="B16" s="105">
        <v>0.89</v>
      </c>
      <c r="C16" s="95" t="s">
        <v>48</v>
      </c>
      <c r="D16" s="102">
        <f t="shared" si="0"/>
        <v>2000</v>
      </c>
      <c r="E16" s="103"/>
      <c r="F16" s="107">
        <v>160</v>
      </c>
      <c r="G16" s="374"/>
      <c r="H16" s="371">
        <f t="shared" si="1"/>
        <v>0</v>
      </c>
      <c r="I16" s="371">
        <f t="shared" si="2"/>
        <v>0</v>
      </c>
      <c r="J16" s="374"/>
      <c r="K16" s="371">
        <f t="shared" si="3"/>
        <v>0</v>
      </c>
      <c r="L16" s="371">
        <f t="shared" si="4"/>
        <v>0</v>
      </c>
      <c r="M16" s="374"/>
      <c r="N16" s="371">
        <f t="shared" si="5"/>
        <v>0</v>
      </c>
      <c r="O16" s="371">
        <f t="shared" si="6"/>
        <v>0</v>
      </c>
      <c r="P16" s="374"/>
      <c r="Q16" s="94">
        <f t="shared" si="7"/>
        <v>0</v>
      </c>
      <c r="R16"/>
      <c r="S16"/>
    </row>
    <row r="17" spans="1:19">
      <c r="A17" s="95" t="s">
        <v>64</v>
      </c>
      <c r="B17" s="105">
        <v>0.94</v>
      </c>
      <c r="C17" s="95" t="s">
        <v>48</v>
      </c>
      <c r="D17" s="102">
        <f t="shared" si="0"/>
        <v>2000</v>
      </c>
      <c r="E17" s="103"/>
      <c r="F17" s="107">
        <v>1100</v>
      </c>
      <c r="G17" s="374"/>
      <c r="H17" s="371">
        <f t="shared" si="1"/>
        <v>0</v>
      </c>
      <c r="I17" s="371">
        <f t="shared" si="2"/>
        <v>0</v>
      </c>
      <c r="J17" s="374"/>
      <c r="K17" s="371">
        <f t="shared" si="3"/>
        <v>0</v>
      </c>
      <c r="L17" s="371">
        <f t="shared" si="4"/>
        <v>0</v>
      </c>
      <c r="M17" s="374"/>
      <c r="N17" s="371">
        <f t="shared" si="5"/>
        <v>0</v>
      </c>
      <c r="O17" s="371">
        <f t="shared" si="6"/>
        <v>0</v>
      </c>
      <c r="P17" s="374"/>
      <c r="Q17" s="94">
        <f t="shared" si="7"/>
        <v>0</v>
      </c>
      <c r="R17"/>
      <c r="S17"/>
    </row>
    <row r="18" spans="1:19">
      <c r="A18" s="95" t="s">
        <v>83</v>
      </c>
      <c r="B18" s="105">
        <v>0.89</v>
      </c>
      <c r="C18" s="96" t="s">
        <v>48</v>
      </c>
      <c r="D18" s="102">
        <f t="shared" si="0"/>
        <v>2000</v>
      </c>
      <c r="E18" s="103"/>
      <c r="F18" s="107"/>
      <c r="G18" s="374"/>
      <c r="H18" s="371">
        <f t="shared" si="1"/>
        <v>0</v>
      </c>
      <c r="I18" s="371">
        <f t="shared" si="2"/>
        <v>0</v>
      </c>
      <c r="J18" s="374"/>
      <c r="K18" s="371">
        <f t="shared" si="3"/>
        <v>0</v>
      </c>
      <c r="L18" s="371">
        <f t="shared" si="4"/>
        <v>0</v>
      </c>
      <c r="M18" s="374"/>
      <c r="N18" s="371">
        <f t="shared" si="5"/>
        <v>0</v>
      </c>
      <c r="O18" s="371">
        <f t="shared" si="6"/>
        <v>0</v>
      </c>
      <c r="P18" s="374"/>
      <c r="Q18" s="94">
        <f t="shared" si="7"/>
        <v>0</v>
      </c>
      <c r="R18"/>
      <c r="S18"/>
    </row>
    <row r="19" spans="1:19">
      <c r="A19" s="95" t="s">
        <v>80</v>
      </c>
      <c r="B19" s="105">
        <v>0.94</v>
      </c>
      <c r="C19" s="96" t="s">
        <v>48</v>
      </c>
      <c r="D19" s="102">
        <f t="shared" si="0"/>
        <v>2000</v>
      </c>
      <c r="E19" s="103"/>
      <c r="F19" s="107"/>
      <c r="G19" s="374"/>
      <c r="H19" s="371">
        <f t="shared" si="1"/>
        <v>0</v>
      </c>
      <c r="I19" s="371">
        <f t="shared" si="2"/>
        <v>0</v>
      </c>
      <c r="J19" s="374"/>
      <c r="K19" s="371">
        <f t="shared" si="3"/>
        <v>0</v>
      </c>
      <c r="L19" s="371">
        <f t="shared" si="4"/>
        <v>0</v>
      </c>
      <c r="M19" s="374"/>
      <c r="N19" s="371">
        <f t="shared" si="5"/>
        <v>0</v>
      </c>
      <c r="O19" s="371">
        <f t="shared" si="6"/>
        <v>0</v>
      </c>
      <c r="P19" s="374"/>
      <c r="Q19" s="94">
        <f t="shared" si="7"/>
        <v>0</v>
      </c>
      <c r="R19"/>
      <c r="S19"/>
    </row>
    <row r="20" spans="1:19">
      <c r="A20" s="95" t="s">
        <v>66</v>
      </c>
      <c r="B20" s="105">
        <v>0.9</v>
      </c>
      <c r="C20" s="95" t="s">
        <v>48</v>
      </c>
      <c r="D20" s="102">
        <f t="shared" si="0"/>
        <v>2000</v>
      </c>
      <c r="E20" s="103"/>
      <c r="F20" s="107">
        <v>350</v>
      </c>
      <c r="G20" s="374"/>
      <c r="H20" s="371">
        <f t="shared" si="1"/>
        <v>0</v>
      </c>
      <c r="I20" s="371">
        <f t="shared" si="2"/>
        <v>0</v>
      </c>
      <c r="J20" s="374"/>
      <c r="K20" s="371">
        <f t="shared" si="3"/>
        <v>0</v>
      </c>
      <c r="L20" s="371">
        <f t="shared" si="4"/>
        <v>0</v>
      </c>
      <c r="M20" s="374"/>
      <c r="N20" s="371">
        <f t="shared" si="5"/>
        <v>0</v>
      </c>
      <c r="O20" s="371">
        <f t="shared" si="6"/>
        <v>0</v>
      </c>
      <c r="P20" s="374"/>
      <c r="Q20" s="94">
        <f t="shared" si="7"/>
        <v>0</v>
      </c>
      <c r="R20"/>
      <c r="S20"/>
    </row>
    <row r="21" spans="1:19">
      <c r="A21" s="95" t="s">
        <v>56</v>
      </c>
      <c r="B21" s="105">
        <v>0.89</v>
      </c>
      <c r="C21" s="95" t="s">
        <v>48</v>
      </c>
      <c r="D21" s="102">
        <f t="shared" si="0"/>
        <v>2000</v>
      </c>
      <c r="E21" s="103"/>
      <c r="F21" s="107">
        <v>160</v>
      </c>
      <c r="G21" s="374"/>
      <c r="H21" s="371">
        <f t="shared" si="1"/>
        <v>0</v>
      </c>
      <c r="I21" s="371">
        <f t="shared" si="2"/>
        <v>0</v>
      </c>
      <c r="J21" s="374"/>
      <c r="K21" s="371">
        <f t="shared" si="3"/>
        <v>0</v>
      </c>
      <c r="L21" s="371">
        <f t="shared" si="4"/>
        <v>0</v>
      </c>
      <c r="M21" s="374"/>
      <c r="N21" s="371">
        <f t="shared" si="5"/>
        <v>0</v>
      </c>
      <c r="O21" s="371">
        <f t="shared" si="6"/>
        <v>0</v>
      </c>
      <c r="P21" s="374"/>
      <c r="Q21" s="94">
        <f t="shared" si="7"/>
        <v>0</v>
      </c>
      <c r="R21"/>
      <c r="S21"/>
    </row>
    <row r="22" spans="1:19">
      <c r="A22" s="95" t="s">
        <v>57</v>
      </c>
      <c r="B22" s="105">
        <v>0.89</v>
      </c>
      <c r="C22" s="95" t="s">
        <v>48</v>
      </c>
      <c r="D22" s="102">
        <f t="shared" si="0"/>
        <v>2000</v>
      </c>
      <c r="E22" s="103"/>
      <c r="F22" s="107">
        <v>538</v>
      </c>
      <c r="G22" s="374"/>
      <c r="H22" s="371">
        <f t="shared" si="1"/>
        <v>0</v>
      </c>
      <c r="I22" s="371">
        <f t="shared" si="2"/>
        <v>0</v>
      </c>
      <c r="J22" s="374"/>
      <c r="K22" s="371">
        <f t="shared" si="3"/>
        <v>0</v>
      </c>
      <c r="L22" s="371">
        <f t="shared" si="4"/>
        <v>0</v>
      </c>
      <c r="M22" s="374"/>
      <c r="N22" s="371">
        <f t="shared" si="5"/>
        <v>0</v>
      </c>
      <c r="O22" s="371">
        <f t="shared" si="6"/>
        <v>0</v>
      </c>
      <c r="P22" s="374"/>
      <c r="Q22" s="94">
        <f t="shared" si="7"/>
        <v>0</v>
      </c>
      <c r="R22"/>
      <c r="S22"/>
    </row>
    <row r="23" spans="1:19">
      <c r="A23" s="95" t="s">
        <v>50</v>
      </c>
      <c r="B23" s="105">
        <v>0.35</v>
      </c>
      <c r="C23" s="95" t="s">
        <v>48</v>
      </c>
      <c r="D23" s="102">
        <f t="shared" si="0"/>
        <v>2000</v>
      </c>
      <c r="E23" s="103">
        <v>0.15</v>
      </c>
      <c r="F23" s="107">
        <v>35</v>
      </c>
      <c r="G23" s="370">
        <v>24</v>
      </c>
      <c r="H23" s="371">
        <f t="shared" si="1"/>
        <v>12.630151260504201</v>
      </c>
      <c r="I23" s="371">
        <f t="shared" si="2"/>
        <v>442.05529411764701</v>
      </c>
      <c r="J23" s="370">
        <v>23</v>
      </c>
      <c r="K23" s="371">
        <f t="shared" si="3"/>
        <v>12.108722689075632</v>
      </c>
      <c r="L23" s="371">
        <f t="shared" si="4"/>
        <v>423.80529411764712</v>
      </c>
      <c r="M23" s="370">
        <v>22</v>
      </c>
      <c r="N23" s="371">
        <f t="shared" si="5"/>
        <v>11.58729411764706</v>
      </c>
      <c r="O23" s="371">
        <f t="shared" si="6"/>
        <v>405.55529411764712</v>
      </c>
      <c r="P23" s="372">
        <v>7.66</v>
      </c>
      <c r="Q23" s="94">
        <f t="shared" si="7"/>
        <v>0.77243697478991602</v>
      </c>
      <c r="R23"/>
      <c r="S23"/>
    </row>
    <row r="24" spans="1:19">
      <c r="A24" s="95" t="s">
        <v>87</v>
      </c>
      <c r="B24" s="105">
        <v>0.8</v>
      </c>
      <c r="C24" s="96" t="s">
        <v>48</v>
      </c>
      <c r="D24" s="102">
        <f t="shared" si="0"/>
        <v>2000</v>
      </c>
      <c r="E24" s="103"/>
      <c r="F24" s="107"/>
      <c r="G24" s="375"/>
      <c r="H24" s="371">
        <f t="shared" si="1"/>
        <v>0</v>
      </c>
      <c r="I24" s="371">
        <f t="shared" si="2"/>
        <v>0</v>
      </c>
      <c r="J24" s="376"/>
      <c r="K24" s="371">
        <f t="shared" si="3"/>
        <v>0</v>
      </c>
      <c r="L24" s="371">
        <f t="shared" si="4"/>
        <v>0</v>
      </c>
      <c r="M24" s="376"/>
      <c r="N24" s="371">
        <f t="shared" si="5"/>
        <v>0</v>
      </c>
      <c r="O24" s="371">
        <f t="shared" si="6"/>
        <v>0</v>
      </c>
      <c r="P24" s="377"/>
      <c r="Q24" s="94">
        <f t="shared" si="7"/>
        <v>0</v>
      </c>
      <c r="R24"/>
      <c r="S24"/>
    </row>
    <row r="25" spans="1:19">
      <c r="A25" s="95" t="s">
        <v>58</v>
      </c>
      <c r="B25" s="105">
        <v>0.89</v>
      </c>
      <c r="C25" s="95" t="s">
        <v>48</v>
      </c>
      <c r="D25" s="102">
        <f t="shared" si="0"/>
        <v>2000</v>
      </c>
      <c r="E25" s="103"/>
      <c r="F25" s="107">
        <v>295</v>
      </c>
      <c r="G25" s="374"/>
      <c r="H25" s="371">
        <f t="shared" si="1"/>
        <v>0</v>
      </c>
      <c r="I25" s="371">
        <f t="shared" si="2"/>
        <v>0</v>
      </c>
      <c r="J25" s="374"/>
      <c r="K25" s="371">
        <f t="shared" si="3"/>
        <v>0</v>
      </c>
      <c r="L25" s="371">
        <f t="shared" si="4"/>
        <v>0</v>
      </c>
      <c r="M25" s="374"/>
      <c r="N25" s="371">
        <f t="shared" si="5"/>
        <v>0</v>
      </c>
      <c r="O25" s="371">
        <f t="shared" si="6"/>
        <v>0</v>
      </c>
      <c r="P25" s="374"/>
      <c r="Q25" s="94">
        <f t="shared" si="7"/>
        <v>0</v>
      </c>
      <c r="S25"/>
    </row>
    <row r="26" spans="1:19">
      <c r="A26" s="95" t="s">
        <v>47</v>
      </c>
      <c r="B26" s="105">
        <v>0.89</v>
      </c>
      <c r="C26" s="95" t="s">
        <v>48</v>
      </c>
      <c r="D26" s="102">
        <f t="shared" si="0"/>
        <v>2000</v>
      </c>
      <c r="E26" s="103">
        <v>0.02</v>
      </c>
      <c r="F26" s="107">
        <v>160</v>
      </c>
      <c r="G26" s="372"/>
      <c r="H26" s="371">
        <f t="shared" si="1"/>
        <v>0</v>
      </c>
      <c r="I26" s="371">
        <f t="shared" si="2"/>
        <v>0</v>
      </c>
      <c r="J26" s="370">
        <v>3.5</v>
      </c>
      <c r="K26" s="371">
        <f t="shared" si="3"/>
        <v>0.62249197431781689</v>
      </c>
      <c r="L26" s="371">
        <f t="shared" si="4"/>
        <v>99.598715890850698</v>
      </c>
      <c r="M26" s="370">
        <v>3</v>
      </c>
      <c r="N26" s="371">
        <f t="shared" si="5"/>
        <v>0.53356454941527165</v>
      </c>
      <c r="O26" s="371">
        <f t="shared" si="6"/>
        <v>85.370327906443464</v>
      </c>
      <c r="P26" s="372"/>
      <c r="Q26" s="94">
        <f t="shared" si="7"/>
        <v>0</v>
      </c>
      <c r="R26"/>
      <c r="S26"/>
    </row>
    <row r="27" spans="1:19">
      <c r="A27" s="95" t="s">
        <v>76</v>
      </c>
      <c r="B27" s="105">
        <v>0.6</v>
      </c>
      <c r="C27" s="96" t="s">
        <v>48</v>
      </c>
      <c r="D27" s="102">
        <f t="shared" si="0"/>
        <v>2000</v>
      </c>
      <c r="E27" s="103"/>
      <c r="F27" s="107"/>
      <c r="G27" s="374"/>
      <c r="H27" s="371">
        <f t="shared" si="1"/>
        <v>0</v>
      </c>
      <c r="I27" s="371">
        <f t="shared" si="2"/>
        <v>0</v>
      </c>
      <c r="J27" s="374"/>
      <c r="K27" s="371">
        <f t="shared" si="3"/>
        <v>0</v>
      </c>
      <c r="L27" s="371">
        <f t="shared" si="4"/>
        <v>0</v>
      </c>
      <c r="M27" s="374"/>
      <c r="N27" s="371">
        <f t="shared" si="5"/>
        <v>0</v>
      </c>
      <c r="O27" s="371">
        <f t="shared" si="6"/>
        <v>0</v>
      </c>
      <c r="P27" s="374"/>
      <c r="Q27" s="94">
        <f t="shared" si="7"/>
        <v>0</v>
      </c>
    </row>
    <row r="28" spans="1:19">
      <c r="A28" s="95" t="s">
        <v>72</v>
      </c>
      <c r="B28" s="105">
        <v>0.87</v>
      </c>
      <c r="C28" s="95" t="s">
        <v>48</v>
      </c>
      <c r="D28" s="102">
        <f t="shared" si="0"/>
        <v>2000</v>
      </c>
      <c r="E28" s="103">
        <v>0.05</v>
      </c>
      <c r="F28" s="107">
        <v>180</v>
      </c>
      <c r="G28" s="370">
        <v>6</v>
      </c>
      <c r="H28" s="371">
        <f t="shared" si="1"/>
        <v>1.1933756805807625</v>
      </c>
      <c r="I28" s="371">
        <f t="shared" si="2"/>
        <v>214.80762250453725</v>
      </c>
      <c r="J28" s="378">
        <v>5</v>
      </c>
      <c r="K28" s="371">
        <f t="shared" si="3"/>
        <v>1.0056866303690259</v>
      </c>
      <c r="L28" s="371">
        <f t="shared" si="4"/>
        <v>181.02359346642467</v>
      </c>
      <c r="M28" s="370">
        <v>5.5</v>
      </c>
      <c r="N28" s="371">
        <f t="shared" si="5"/>
        <v>1.0995311554748941</v>
      </c>
      <c r="O28" s="371">
        <f t="shared" si="6"/>
        <v>197.91560798548093</v>
      </c>
      <c r="P28" s="372">
        <v>12.350000000000001</v>
      </c>
      <c r="Q28" s="94">
        <f t="shared" si="7"/>
        <v>0.44827586206896558</v>
      </c>
    </row>
    <row r="29" spans="1:19">
      <c r="A29" s="95" t="s">
        <v>77</v>
      </c>
      <c r="B29" s="105">
        <v>0.7</v>
      </c>
      <c r="C29" s="96" t="s">
        <v>48</v>
      </c>
      <c r="D29" s="102">
        <f t="shared" si="0"/>
        <v>2000</v>
      </c>
      <c r="E29" s="103"/>
      <c r="F29" s="107"/>
      <c r="G29" s="374"/>
      <c r="H29" s="371">
        <f t="shared" si="1"/>
        <v>0</v>
      </c>
      <c r="I29" s="371">
        <f t="shared" si="2"/>
        <v>0</v>
      </c>
      <c r="J29" s="374"/>
      <c r="K29" s="371">
        <f t="shared" si="3"/>
        <v>0</v>
      </c>
      <c r="L29" s="371">
        <f t="shared" si="4"/>
        <v>0</v>
      </c>
      <c r="M29" s="374"/>
      <c r="N29" s="371">
        <f t="shared" si="5"/>
        <v>0</v>
      </c>
      <c r="O29" s="371">
        <f t="shared" si="6"/>
        <v>0</v>
      </c>
      <c r="P29" s="374"/>
      <c r="Q29" s="94">
        <f t="shared" si="7"/>
        <v>0</v>
      </c>
    </row>
    <row r="30" spans="1:19">
      <c r="A30" s="95" t="s">
        <v>81</v>
      </c>
      <c r="B30" s="105">
        <v>0.89</v>
      </c>
      <c r="C30" s="96" t="s">
        <v>48</v>
      </c>
      <c r="D30" s="102">
        <f t="shared" si="0"/>
        <v>2000</v>
      </c>
      <c r="E30" s="103"/>
      <c r="F30" s="107"/>
      <c r="G30" s="374"/>
      <c r="H30" s="371">
        <f t="shared" si="1"/>
        <v>0</v>
      </c>
      <c r="I30" s="371">
        <f t="shared" si="2"/>
        <v>0</v>
      </c>
      <c r="J30" s="374"/>
      <c r="K30" s="371">
        <f t="shared" si="3"/>
        <v>0</v>
      </c>
      <c r="L30" s="371">
        <f t="shared" si="4"/>
        <v>0</v>
      </c>
      <c r="M30" s="374"/>
      <c r="N30" s="371">
        <f t="shared" si="5"/>
        <v>0</v>
      </c>
      <c r="O30" s="371">
        <f t="shared" si="6"/>
        <v>0</v>
      </c>
      <c r="P30" s="374"/>
      <c r="Q30" s="94">
        <f t="shared" si="7"/>
        <v>0</v>
      </c>
    </row>
    <row r="31" spans="1:19">
      <c r="A31" s="95" t="s">
        <v>49</v>
      </c>
      <c r="B31" s="105">
        <v>0.89</v>
      </c>
      <c r="C31" s="95" t="s">
        <v>48</v>
      </c>
      <c r="D31" s="102">
        <f t="shared" si="0"/>
        <v>2000</v>
      </c>
      <c r="E31" s="103"/>
      <c r="F31" s="107">
        <v>115</v>
      </c>
      <c r="G31" s="374"/>
      <c r="H31" s="371">
        <f t="shared" si="1"/>
        <v>0</v>
      </c>
      <c r="I31" s="371">
        <f t="shared" si="2"/>
        <v>0</v>
      </c>
      <c r="J31" s="374"/>
      <c r="K31" s="371">
        <f t="shared" si="3"/>
        <v>0</v>
      </c>
      <c r="L31" s="371">
        <f t="shared" si="4"/>
        <v>0</v>
      </c>
      <c r="M31" s="374"/>
      <c r="N31" s="371">
        <f t="shared" si="5"/>
        <v>0</v>
      </c>
      <c r="O31" s="371">
        <f t="shared" si="6"/>
        <v>0</v>
      </c>
      <c r="P31" s="374"/>
      <c r="Q31" s="94">
        <f t="shared" si="7"/>
        <v>0</v>
      </c>
    </row>
    <row r="32" spans="1:19">
      <c r="A32" s="95" t="s">
        <v>63</v>
      </c>
      <c r="B32" s="105">
        <v>0.89</v>
      </c>
      <c r="C32" s="95" t="s">
        <v>48</v>
      </c>
      <c r="D32" s="102">
        <f t="shared" si="0"/>
        <v>2000</v>
      </c>
      <c r="E32" s="103"/>
      <c r="F32" s="107">
        <v>285</v>
      </c>
      <c r="G32" s="374"/>
      <c r="H32" s="371">
        <f t="shared" si="1"/>
        <v>0</v>
      </c>
      <c r="I32" s="371">
        <f t="shared" si="2"/>
        <v>0</v>
      </c>
      <c r="J32" s="374"/>
      <c r="K32" s="371">
        <f t="shared" si="3"/>
        <v>0</v>
      </c>
      <c r="L32" s="371">
        <f t="shared" si="4"/>
        <v>0</v>
      </c>
      <c r="M32" s="374"/>
      <c r="N32" s="371">
        <f t="shared" si="5"/>
        <v>0</v>
      </c>
      <c r="O32" s="371">
        <f t="shared" si="6"/>
        <v>0</v>
      </c>
      <c r="P32" s="374"/>
      <c r="Q32" s="94">
        <f t="shared" si="7"/>
        <v>0</v>
      </c>
    </row>
    <row r="33" spans="1:17">
      <c r="A33" s="95" t="s">
        <v>85</v>
      </c>
      <c r="B33" s="105">
        <v>0.89</v>
      </c>
      <c r="C33" s="96" t="s">
        <v>48</v>
      </c>
      <c r="D33" s="102">
        <f t="shared" si="0"/>
        <v>2000</v>
      </c>
      <c r="E33" s="103"/>
      <c r="F33" s="107"/>
      <c r="G33" s="374"/>
      <c r="H33" s="371">
        <f t="shared" si="1"/>
        <v>0</v>
      </c>
      <c r="I33" s="371">
        <f t="shared" si="2"/>
        <v>0</v>
      </c>
      <c r="J33" s="374"/>
      <c r="K33" s="371">
        <f t="shared" si="3"/>
        <v>0</v>
      </c>
      <c r="L33" s="371">
        <f t="shared" si="4"/>
        <v>0</v>
      </c>
      <c r="M33" s="374"/>
      <c r="N33" s="371">
        <f t="shared" si="5"/>
        <v>0</v>
      </c>
      <c r="O33" s="371">
        <f t="shared" si="6"/>
        <v>0</v>
      </c>
      <c r="P33" s="374"/>
      <c r="Q33" s="94">
        <f t="shared" si="7"/>
        <v>0</v>
      </c>
    </row>
    <row r="34" spans="1:17">
      <c r="A34" s="95" t="s">
        <v>55</v>
      </c>
      <c r="B34" s="105">
        <v>0.89</v>
      </c>
      <c r="C34" s="95" t="s">
        <v>48</v>
      </c>
      <c r="D34" s="102">
        <f t="shared" si="0"/>
        <v>2000</v>
      </c>
      <c r="E34" s="103"/>
      <c r="F34" s="107">
        <v>130</v>
      </c>
      <c r="G34" s="374"/>
      <c r="H34" s="371">
        <f t="shared" si="1"/>
        <v>0</v>
      </c>
      <c r="I34" s="371">
        <f t="shared" si="2"/>
        <v>0</v>
      </c>
      <c r="J34" s="374"/>
      <c r="K34" s="371">
        <f t="shared" si="3"/>
        <v>0</v>
      </c>
      <c r="L34" s="371">
        <f t="shared" si="4"/>
        <v>0</v>
      </c>
      <c r="M34" s="374"/>
      <c r="N34" s="371">
        <f t="shared" si="5"/>
        <v>0</v>
      </c>
      <c r="O34" s="371">
        <f t="shared" si="6"/>
        <v>0</v>
      </c>
      <c r="P34" s="374"/>
      <c r="Q34" s="94">
        <f t="shared" si="7"/>
        <v>0</v>
      </c>
    </row>
    <row r="35" spans="1:17">
      <c r="A35" s="95" t="s">
        <v>60</v>
      </c>
      <c r="B35" s="105">
        <v>0.89</v>
      </c>
      <c r="C35" s="95" t="s">
        <v>48</v>
      </c>
      <c r="D35" s="102">
        <f t="shared" si="0"/>
        <v>2000</v>
      </c>
      <c r="E35" s="103"/>
      <c r="F35" s="107">
        <v>173.75</v>
      </c>
      <c r="G35" s="374"/>
      <c r="H35" s="371">
        <f t="shared" si="1"/>
        <v>0</v>
      </c>
      <c r="I35" s="371">
        <f t="shared" si="2"/>
        <v>0</v>
      </c>
      <c r="J35" s="374"/>
      <c r="K35" s="371">
        <f t="shared" si="3"/>
        <v>0</v>
      </c>
      <c r="L35" s="371">
        <f t="shared" si="4"/>
        <v>0</v>
      </c>
      <c r="M35" s="374"/>
      <c r="N35" s="371">
        <f t="shared" si="5"/>
        <v>0</v>
      </c>
      <c r="O35" s="371">
        <f t="shared" si="6"/>
        <v>0</v>
      </c>
      <c r="P35" s="374"/>
      <c r="Q35" s="94">
        <f t="shared" si="7"/>
        <v>0</v>
      </c>
    </row>
    <row r="36" spans="1:17">
      <c r="A36" s="95" t="s">
        <v>62</v>
      </c>
      <c r="B36" s="105">
        <v>0.87</v>
      </c>
      <c r="C36" s="95" t="s">
        <v>48</v>
      </c>
      <c r="D36" s="102">
        <f t="shared" si="0"/>
        <v>2000</v>
      </c>
      <c r="E36" s="103"/>
      <c r="F36" s="107">
        <v>148</v>
      </c>
      <c r="G36" s="374"/>
      <c r="H36" s="371">
        <f t="shared" si="1"/>
        <v>0</v>
      </c>
      <c r="I36" s="371">
        <f t="shared" si="2"/>
        <v>0</v>
      </c>
      <c r="J36" s="374"/>
      <c r="K36" s="371">
        <f t="shared" si="3"/>
        <v>0</v>
      </c>
      <c r="L36" s="371">
        <f t="shared" si="4"/>
        <v>0</v>
      </c>
      <c r="M36" s="374"/>
      <c r="N36" s="371">
        <f t="shared" si="5"/>
        <v>0</v>
      </c>
      <c r="O36" s="371">
        <f t="shared" si="6"/>
        <v>0</v>
      </c>
      <c r="P36" s="374"/>
      <c r="Q36" s="94">
        <f t="shared" si="7"/>
        <v>0</v>
      </c>
    </row>
    <row r="37" spans="1:17">
      <c r="A37" s="95" t="s">
        <v>51</v>
      </c>
      <c r="B37" s="105">
        <v>0.86</v>
      </c>
      <c r="C37" s="95" t="s">
        <v>108</v>
      </c>
      <c r="D37" s="102">
        <v>56</v>
      </c>
      <c r="E37" s="103">
        <v>0.02</v>
      </c>
      <c r="F37" s="107">
        <v>3.97</v>
      </c>
      <c r="G37" s="370">
        <v>11</v>
      </c>
      <c r="H37" s="371">
        <f t="shared" si="1"/>
        <v>73.098388026306864</v>
      </c>
      <c r="I37" s="371">
        <f t="shared" si="2"/>
        <v>290.20060046443825</v>
      </c>
      <c r="J37" s="370">
        <v>9</v>
      </c>
      <c r="K37" s="371">
        <f t="shared" si="3"/>
        <v>59.951310258322607</v>
      </c>
      <c r="L37" s="371">
        <f t="shared" si="4"/>
        <v>238.00670172554075</v>
      </c>
      <c r="M37" s="370">
        <v>12.192</v>
      </c>
      <c r="N37" s="371">
        <f t="shared" si="5"/>
        <v>80.934046376025492</v>
      </c>
      <c r="O37" s="371">
        <f t="shared" si="6"/>
        <v>321.3081641128212</v>
      </c>
      <c r="P37" s="372">
        <v>4.1400000000000006</v>
      </c>
      <c r="Q37" s="94">
        <f t="shared" si="7"/>
        <v>5.263068682622551</v>
      </c>
    </row>
    <row r="38" spans="1:17">
      <c r="A38" s="95" t="s">
        <v>54</v>
      </c>
      <c r="B38" s="105">
        <v>0.89</v>
      </c>
      <c r="C38" s="95" t="s">
        <v>48</v>
      </c>
      <c r="D38" s="102">
        <f t="shared" si="0"/>
        <v>2000</v>
      </c>
      <c r="E38" s="103"/>
      <c r="F38" s="107">
        <v>138</v>
      </c>
      <c r="G38" s="374"/>
      <c r="H38" s="371">
        <f t="shared" si="1"/>
        <v>0</v>
      </c>
      <c r="I38" s="371">
        <f t="shared" si="2"/>
        <v>0</v>
      </c>
      <c r="J38" s="374"/>
      <c r="K38" s="371">
        <f t="shared" si="3"/>
        <v>0</v>
      </c>
      <c r="L38" s="371">
        <f t="shared" si="4"/>
        <v>0</v>
      </c>
      <c r="M38" s="374"/>
      <c r="N38" s="371">
        <f t="shared" si="5"/>
        <v>0</v>
      </c>
      <c r="O38" s="371">
        <f t="shared" si="6"/>
        <v>0</v>
      </c>
      <c r="P38" s="374"/>
      <c r="Q38" s="94">
        <f t="shared" si="7"/>
        <v>0</v>
      </c>
    </row>
    <row r="39" spans="1:17">
      <c r="A39" s="95" t="s">
        <v>70</v>
      </c>
      <c r="B39" s="105">
        <v>0.89</v>
      </c>
      <c r="C39" s="95" t="s">
        <v>48</v>
      </c>
      <c r="D39" s="102">
        <f t="shared" si="0"/>
        <v>2000</v>
      </c>
      <c r="E39" s="103"/>
      <c r="F39" s="107">
        <v>380</v>
      </c>
      <c r="G39" s="374"/>
      <c r="H39" s="371">
        <f t="shared" si="1"/>
        <v>0</v>
      </c>
      <c r="I39" s="371">
        <f t="shared" si="2"/>
        <v>0</v>
      </c>
      <c r="J39" s="374"/>
      <c r="K39" s="371">
        <f t="shared" si="3"/>
        <v>0</v>
      </c>
      <c r="L39" s="371">
        <f t="shared" si="4"/>
        <v>0</v>
      </c>
      <c r="M39" s="374"/>
      <c r="N39" s="371">
        <f t="shared" si="5"/>
        <v>0</v>
      </c>
      <c r="O39" s="371">
        <f t="shared" si="6"/>
        <v>0</v>
      </c>
      <c r="P39" s="374"/>
      <c r="Q39" s="94">
        <f t="shared" ref="Q39:Q55" si="8">((((P39/$B39)*60)/$D39)/(1-E39))</f>
        <v>0</v>
      </c>
    </row>
    <row r="40" spans="1:17">
      <c r="A40" s="95" t="s">
        <v>67</v>
      </c>
      <c r="B40" s="105">
        <v>0.89</v>
      </c>
      <c r="C40" s="95" t="s">
        <v>48</v>
      </c>
      <c r="D40" s="102">
        <f t="shared" si="0"/>
        <v>2000</v>
      </c>
      <c r="E40" s="103">
        <v>0.02</v>
      </c>
      <c r="F40" s="107">
        <v>380</v>
      </c>
      <c r="G40" s="370">
        <v>6.5</v>
      </c>
      <c r="H40" s="371">
        <f t="shared" si="1"/>
        <v>1.1560565237330886</v>
      </c>
      <c r="I40" s="371">
        <f t="shared" si="2"/>
        <v>439.30147901857367</v>
      </c>
      <c r="J40" s="370">
        <v>4</v>
      </c>
      <c r="K40" s="371">
        <f t="shared" si="3"/>
        <v>0.71141939922036235</v>
      </c>
      <c r="L40" s="371">
        <f t="shared" si="4"/>
        <v>270.3393717037377</v>
      </c>
      <c r="M40" s="370">
        <v>4.5</v>
      </c>
      <c r="N40" s="371">
        <f t="shared" si="5"/>
        <v>0.8003468241229077</v>
      </c>
      <c r="O40" s="371">
        <f t="shared" si="6"/>
        <v>304.13179316670494</v>
      </c>
      <c r="P40" s="372"/>
      <c r="Q40" s="94">
        <f t="shared" si="8"/>
        <v>0</v>
      </c>
    </row>
    <row r="41" spans="1:17">
      <c r="A41" s="95" t="s">
        <v>74</v>
      </c>
      <c r="B41" s="105">
        <v>0.92</v>
      </c>
      <c r="C41" s="96" t="s">
        <v>48</v>
      </c>
      <c r="D41" s="102">
        <f t="shared" si="0"/>
        <v>2000</v>
      </c>
      <c r="E41" s="103">
        <v>0.02</v>
      </c>
      <c r="F41" s="107">
        <v>420</v>
      </c>
      <c r="G41" s="372"/>
      <c r="H41" s="371">
        <f t="shared" si="1"/>
        <v>0</v>
      </c>
      <c r="I41" s="371">
        <f t="shared" si="2"/>
        <v>0</v>
      </c>
      <c r="J41" s="370">
        <v>1</v>
      </c>
      <c r="K41" s="371">
        <f t="shared" si="3"/>
        <v>0.17205523513753326</v>
      </c>
      <c r="L41" s="371">
        <f t="shared" si="4"/>
        <v>72.263198757763973</v>
      </c>
      <c r="M41" s="370">
        <v>1</v>
      </c>
      <c r="N41" s="371">
        <f t="shared" si="5"/>
        <v>0.17205523513753326</v>
      </c>
      <c r="O41" s="371">
        <f t="shared" si="6"/>
        <v>72.263198757763973</v>
      </c>
      <c r="P41" s="372"/>
      <c r="Q41" s="94">
        <f t="shared" si="8"/>
        <v>0</v>
      </c>
    </row>
    <row r="42" spans="1:17">
      <c r="A42" s="95" t="s">
        <v>75</v>
      </c>
      <c r="B42" s="105">
        <v>0.92</v>
      </c>
      <c r="C42" s="96" t="s">
        <v>48</v>
      </c>
      <c r="D42" s="102">
        <f t="shared" si="0"/>
        <v>2000</v>
      </c>
      <c r="E42" s="103"/>
      <c r="F42" s="107"/>
      <c r="G42" s="374"/>
      <c r="H42" s="371">
        <f t="shared" si="1"/>
        <v>0</v>
      </c>
      <c r="I42" s="371">
        <f t="shared" si="2"/>
        <v>0</v>
      </c>
      <c r="J42" s="374"/>
      <c r="K42" s="371">
        <f t="shared" si="3"/>
        <v>0</v>
      </c>
      <c r="L42" s="371">
        <f t="shared" si="4"/>
        <v>0</v>
      </c>
      <c r="M42" s="374"/>
      <c r="N42" s="371">
        <f t="shared" si="5"/>
        <v>0</v>
      </c>
      <c r="O42" s="371">
        <f t="shared" si="6"/>
        <v>0</v>
      </c>
      <c r="P42" s="374"/>
      <c r="Q42" s="94">
        <f t="shared" si="8"/>
        <v>0</v>
      </c>
    </row>
    <row r="43" spans="1:17">
      <c r="A43" s="95" t="s">
        <v>65</v>
      </c>
      <c r="B43" s="105">
        <v>0.87</v>
      </c>
      <c r="C43" s="95" t="s">
        <v>48</v>
      </c>
      <c r="D43" s="102">
        <f t="shared" si="0"/>
        <v>2000</v>
      </c>
      <c r="E43" s="103"/>
      <c r="F43" s="107">
        <v>325.67</v>
      </c>
      <c r="G43" s="374"/>
      <c r="H43" s="371">
        <f t="shared" si="1"/>
        <v>0</v>
      </c>
      <c r="I43" s="371">
        <f t="shared" si="2"/>
        <v>0</v>
      </c>
      <c r="J43" s="374"/>
      <c r="K43" s="371">
        <f t="shared" si="3"/>
        <v>0</v>
      </c>
      <c r="L43" s="371">
        <f t="shared" si="4"/>
        <v>0</v>
      </c>
      <c r="M43" s="374"/>
      <c r="N43" s="371">
        <f t="shared" si="5"/>
        <v>0</v>
      </c>
      <c r="O43" s="371">
        <f t="shared" si="6"/>
        <v>0</v>
      </c>
      <c r="P43" s="374"/>
      <c r="Q43" s="94">
        <f t="shared" si="8"/>
        <v>0</v>
      </c>
    </row>
    <row r="44" spans="1:17">
      <c r="A44" s="95" t="s">
        <v>79</v>
      </c>
      <c r="B44" s="105">
        <v>0.85</v>
      </c>
      <c r="C44" s="96" t="s">
        <v>48</v>
      </c>
      <c r="D44" s="102">
        <f t="shared" si="0"/>
        <v>2000</v>
      </c>
      <c r="E44" s="103"/>
      <c r="F44" s="107"/>
      <c r="G44" s="374"/>
      <c r="H44" s="371">
        <f t="shared" si="1"/>
        <v>0</v>
      </c>
      <c r="I44" s="371">
        <f t="shared" si="2"/>
        <v>0</v>
      </c>
      <c r="J44" s="374"/>
      <c r="K44" s="371">
        <f t="shared" si="3"/>
        <v>0</v>
      </c>
      <c r="L44" s="371">
        <f t="shared" si="4"/>
        <v>0</v>
      </c>
      <c r="M44" s="374"/>
      <c r="N44" s="371">
        <f t="shared" si="5"/>
        <v>0</v>
      </c>
      <c r="O44" s="371">
        <f t="shared" si="6"/>
        <v>0</v>
      </c>
      <c r="P44" s="374"/>
      <c r="Q44" s="94">
        <f t="shared" si="8"/>
        <v>0</v>
      </c>
    </row>
    <row r="45" spans="1:17">
      <c r="A45" s="95" t="s">
        <v>71</v>
      </c>
      <c r="B45" s="105">
        <v>0.89</v>
      </c>
      <c r="C45" s="95" t="s">
        <v>48</v>
      </c>
      <c r="D45" s="102">
        <f t="shared" si="0"/>
        <v>2000</v>
      </c>
      <c r="E45" s="103"/>
      <c r="F45" s="107">
        <v>215</v>
      </c>
      <c r="G45" s="374"/>
      <c r="H45" s="371">
        <f t="shared" si="1"/>
        <v>0</v>
      </c>
      <c r="I45" s="371">
        <f t="shared" si="2"/>
        <v>0</v>
      </c>
      <c r="J45" s="374"/>
      <c r="K45" s="371">
        <f t="shared" si="3"/>
        <v>0</v>
      </c>
      <c r="L45" s="371">
        <f t="shared" si="4"/>
        <v>0</v>
      </c>
      <c r="M45" s="374"/>
      <c r="N45" s="371">
        <f t="shared" si="5"/>
        <v>0</v>
      </c>
      <c r="O45" s="371">
        <f t="shared" si="6"/>
        <v>0</v>
      </c>
      <c r="P45" s="374"/>
      <c r="Q45" s="94">
        <f t="shared" si="8"/>
        <v>0</v>
      </c>
    </row>
    <row r="46" spans="1:17">
      <c r="A46" s="95" t="s">
        <v>73</v>
      </c>
      <c r="B46" s="105">
        <v>0.99</v>
      </c>
      <c r="C46" s="95" t="s">
        <v>69</v>
      </c>
      <c r="D46" s="102">
        <f t="shared" si="0"/>
        <v>100</v>
      </c>
      <c r="E46" s="103"/>
      <c r="F46" s="107">
        <v>29</v>
      </c>
      <c r="G46" s="374"/>
      <c r="H46" s="371">
        <f t="shared" si="1"/>
        <v>0</v>
      </c>
      <c r="I46" s="371">
        <f t="shared" si="2"/>
        <v>0</v>
      </c>
      <c r="J46" s="374"/>
      <c r="K46" s="371">
        <f t="shared" si="3"/>
        <v>0</v>
      </c>
      <c r="L46" s="371">
        <f t="shared" si="4"/>
        <v>0</v>
      </c>
      <c r="M46" s="374"/>
      <c r="N46" s="371">
        <f t="shared" si="5"/>
        <v>0</v>
      </c>
      <c r="O46" s="371">
        <f t="shared" si="6"/>
        <v>0</v>
      </c>
      <c r="P46" s="374"/>
      <c r="Q46" s="94">
        <f t="shared" si="8"/>
        <v>0</v>
      </c>
    </row>
    <row r="47" spans="1:17">
      <c r="A47" s="95" t="s">
        <v>78</v>
      </c>
      <c r="B47" s="105">
        <v>0.99</v>
      </c>
      <c r="C47" s="96" t="s">
        <v>48</v>
      </c>
      <c r="D47" s="102">
        <f t="shared" si="0"/>
        <v>2000</v>
      </c>
      <c r="E47" s="103"/>
      <c r="F47" s="107"/>
      <c r="G47" s="374"/>
      <c r="H47" s="371">
        <f t="shared" si="1"/>
        <v>0</v>
      </c>
      <c r="I47" s="371">
        <f t="shared" si="2"/>
        <v>0</v>
      </c>
      <c r="J47" s="374"/>
      <c r="K47" s="371">
        <f t="shared" si="3"/>
        <v>0</v>
      </c>
      <c r="L47" s="371">
        <f t="shared" si="4"/>
        <v>0</v>
      </c>
      <c r="M47" s="374"/>
      <c r="N47" s="371">
        <f t="shared" si="5"/>
        <v>0</v>
      </c>
      <c r="O47" s="371">
        <f t="shared" si="6"/>
        <v>0</v>
      </c>
      <c r="P47" s="374"/>
      <c r="Q47" s="94">
        <f t="shared" si="8"/>
        <v>0</v>
      </c>
    </row>
    <row r="48" spans="1:17">
      <c r="A48" s="95" t="s">
        <v>84</v>
      </c>
      <c r="B48" s="105">
        <v>0.25</v>
      </c>
      <c r="C48" s="96" t="s">
        <v>48</v>
      </c>
      <c r="D48" s="102">
        <f t="shared" si="0"/>
        <v>2000</v>
      </c>
      <c r="E48" s="103"/>
      <c r="F48" s="107"/>
      <c r="G48" s="374"/>
      <c r="H48" s="371">
        <f t="shared" si="1"/>
        <v>0</v>
      </c>
      <c r="I48" s="371">
        <f t="shared" si="2"/>
        <v>0</v>
      </c>
      <c r="J48" s="374"/>
      <c r="K48" s="371">
        <f t="shared" si="3"/>
        <v>0</v>
      </c>
      <c r="L48" s="371">
        <f t="shared" si="4"/>
        <v>0</v>
      </c>
      <c r="M48" s="374"/>
      <c r="N48" s="371">
        <f t="shared" si="5"/>
        <v>0</v>
      </c>
      <c r="O48" s="371">
        <f t="shared" si="6"/>
        <v>0</v>
      </c>
      <c r="P48" s="374"/>
      <c r="Q48" s="94">
        <f t="shared" si="8"/>
        <v>0</v>
      </c>
    </row>
    <row r="49" spans="1:17">
      <c r="A49" s="95" t="s">
        <v>82</v>
      </c>
      <c r="B49" s="105">
        <v>0.45</v>
      </c>
      <c r="C49" s="96" t="s">
        <v>48</v>
      </c>
      <c r="D49" s="102">
        <f t="shared" si="0"/>
        <v>2000</v>
      </c>
      <c r="E49" s="103"/>
      <c r="F49" s="107"/>
      <c r="G49" s="374"/>
      <c r="H49" s="371">
        <f t="shared" si="1"/>
        <v>0</v>
      </c>
      <c r="I49" s="371">
        <f t="shared" si="2"/>
        <v>0</v>
      </c>
      <c r="J49" s="374"/>
      <c r="K49" s="371">
        <f t="shared" si="3"/>
        <v>0</v>
      </c>
      <c r="L49" s="371">
        <f t="shared" si="4"/>
        <v>0</v>
      </c>
      <c r="M49" s="374"/>
      <c r="N49" s="371">
        <f t="shared" si="5"/>
        <v>0</v>
      </c>
      <c r="O49" s="371">
        <f t="shared" si="6"/>
        <v>0</v>
      </c>
      <c r="P49" s="374"/>
      <c r="Q49" s="94">
        <f t="shared" si="8"/>
        <v>0</v>
      </c>
    </row>
    <row r="50" spans="1:17">
      <c r="A50" s="95" t="s">
        <v>53</v>
      </c>
      <c r="B50" s="105">
        <v>0.89</v>
      </c>
      <c r="C50" s="95" t="s">
        <v>48</v>
      </c>
      <c r="D50" s="102">
        <f t="shared" si="0"/>
        <v>2000</v>
      </c>
      <c r="E50" s="103"/>
      <c r="F50" s="107">
        <v>140</v>
      </c>
      <c r="G50" s="374"/>
      <c r="H50" s="371">
        <f t="shared" si="1"/>
        <v>0</v>
      </c>
      <c r="I50" s="371">
        <f t="shared" si="2"/>
        <v>0</v>
      </c>
      <c r="J50" s="374"/>
      <c r="K50" s="371">
        <f t="shared" si="3"/>
        <v>0</v>
      </c>
      <c r="L50" s="371">
        <f t="shared" si="4"/>
        <v>0</v>
      </c>
      <c r="M50" s="374"/>
      <c r="N50" s="371">
        <f t="shared" si="5"/>
        <v>0</v>
      </c>
      <c r="O50" s="371">
        <f t="shared" si="6"/>
        <v>0</v>
      </c>
      <c r="P50" s="374"/>
      <c r="Q50" s="94">
        <f t="shared" si="8"/>
        <v>0</v>
      </c>
    </row>
    <row r="51" spans="1:17">
      <c r="A51" s="95" t="s">
        <v>86</v>
      </c>
      <c r="B51" s="105">
        <v>0.89</v>
      </c>
      <c r="C51" s="96" t="s">
        <v>48</v>
      </c>
      <c r="D51" s="102">
        <f t="shared" si="0"/>
        <v>2000</v>
      </c>
      <c r="E51" s="103"/>
      <c r="F51" s="107"/>
      <c r="G51" s="374"/>
      <c r="H51" s="371">
        <f t="shared" si="1"/>
        <v>0</v>
      </c>
      <c r="I51" s="371">
        <f t="shared" si="2"/>
        <v>0</v>
      </c>
      <c r="J51" s="374"/>
      <c r="K51" s="371">
        <f t="shared" si="3"/>
        <v>0</v>
      </c>
      <c r="L51" s="371">
        <f t="shared" si="4"/>
        <v>0</v>
      </c>
      <c r="M51" s="374"/>
      <c r="N51" s="371">
        <f t="shared" si="5"/>
        <v>0</v>
      </c>
      <c r="O51" s="371">
        <f t="shared" si="6"/>
        <v>0</v>
      </c>
      <c r="P51" s="374"/>
      <c r="Q51" s="94">
        <f t="shared" si="8"/>
        <v>0</v>
      </c>
    </row>
    <row r="52" spans="1:17">
      <c r="A52" s="95" t="s">
        <v>52</v>
      </c>
      <c r="B52" s="105">
        <v>0.89</v>
      </c>
      <c r="C52" s="95" t="s">
        <v>48</v>
      </c>
      <c r="D52" s="102">
        <f t="shared" si="0"/>
        <v>2000</v>
      </c>
      <c r="E52" s="103"/>
      <c r="F52" s="107">
        <v>115</v>
      </c>
      <c r="G52" s="374"/>
      <c r="H52" s="371">
        <f t="shared" si="1"/>
        <v>0</v>
      </c>
      <c r="I52" s="371">
        <f t="shared" si="2"/>
        <v>0</v>
      </c>
      <c r="J52" s="374"/>
      <c r="K52" s="371">
        <f t="shared" si="3"/>
        <v>0</v>
      </c>
      <c r="L52" s="371">
        <f t="shared" si="4"/>
        <v>0</v>
      </c>
      <c r="M52" s="374"/>
      <c r="N52" s="371">
        <f t="shared" si="5"/>
        <v>0</v>
      </c>
      <c r="O52" s="371">
        <f t="shared" si="6"/>
        <v>0</v>
      </c>
      <c r="P52" s="374"/>
      <c r="Q52" s="94">
        <f t="shared" si="8"/>
        <v>0</v>
      </c>
    </row>
    <row r="53" spans="1:17">
      <c r="A53" s="95" t="s">
        <v>88</v>
      </c>
      <c r="B53" s="105">
        <v>0.2</v>
      </c>
      <c r="C53" s="96" t="s">
        <v>48</v>
      </c>
      <c r="D53" s="102">
        <f t="shared" si="0"/>
        <v>2000</v>
      </c>
      <c r="E53" s="103"/>
      <c r="F53" s="107"/>
      <c r="G53" s="374"/>
      <c r="H53" s="371">
        <f t="shared" si="1"/>
        <v>0</v>
      </c>
      <c r="I53" s="371">
        <f t="shared" si="2"/>
        <v>0</v>
      </c>
      <c r="J53" s="374"/>
      <c r="K53" s="371">
        <f t="shared" si="3"/>
        <v>0</v>
      </c>
      <c r="L53" s="371">
        <f t="shared" si="4"/>
        <v>0</v>
      </c>
      <c r="M53" s="374"/>
      <c r="N53" s="371">
        <f t="shared" si="5"/>
        <v>0</v>
      </c>
      <c r="O53" s="371">
        <f t="shared" si="6"/>
        <v>0</v>
      </c>
      <c r="P53" s="374"/>
      <c r="Q53" s="94">
        <f t="shared" si="8"/>
        <v>0</v>
      </c>
    </row>
    <row r="54" spans="1:17">
      <c r="A54" s="95" t="s">
        <v>61</v>
      </c>
      <c r="B54" s="105">
        <v>0.89</v>
      </c>
      <c r="C54" s="95" t="s">
        <v>48</v>
      </c>
      <c r="D54" s="102">
        <f t="shared" si="0"/>
        <v>2000</v>
      </c>
      <c r="E54" s="103">
        <v>0.02</v>
      </c>
      <c r="F54" s="107">
        <v>200</v>
      </c>
      <c r="G54" s="372"/>
      <c r="H54" s="371">
        <f t="shared" si="1"/>
        <v>0</v>
      </c>
      <c r="I54" s="371">
        <f t="shared" si="2"/>
        <v>0</v>
      </c>
      <c r="J54" s="370">
        <v>4.5</v>
      </c>
      <c r="K54" s="371">
        <f t="shared" si="3"/>
        <v>0.8003468241229077</v>
      </c>
      <c r="L54" s="371">
        <f t="shared" si="4"/>
        <v>160.06936482458153</v>
      </c>
      <c r="M54" s="370">
        <v>5</v>
      </c>
      <c r="N54" s="371">
        <f t="shared" si="5"/>
        <v>0.88927424902545271</v>
      </c>
      <c r="O54" s="371">
        <f t="shared" si="6"/>
        <v>177.85484980509054</v>
      </c>
      <c r="P54" s="372"/>
      <c r="Q54" s="94">
        <f t="shared" si="8"/>
        <v>0</v>
      </c>
    </row>
    <row r="55" spans="1:17">
      <c r="A55" s="97"/>
      <c r="B55" s="104"/>
      <c r="C55" s="98"/>
      <c r="D55" s="98"/>
      <c r="E55" s="111"/>
      <c r="F55" s="107"/>
      <c r="G55" s="374"/>
      <c r="H55" s="371">
        <f t="shared" si="1"/>
        <v>0</v>
      </c>
      <c r="I55" s="371">
        <f t="shared" si="2"/>
        <v>0</v>
      </c>
      <c r="J55" s="374"/>
      <c r="K55" s="371">
        <f t="shared" si="3"/>
        <v>0</v>
      </c>
      <c r="L55" s="371">
        <f t="shared" si="4"/>
        <v>0</v>
      </c>
      <c r="M55" s="374"/>
      <c r="N55" s="371">
        <f t="shared" si="5"/>
        <v>0</v>
      </c>
      <c r="O55" s="371">
        <f t="shared" si="6"/>
        <v>0</v>
      </c>
      <c r="P55" s="374"/>
      <c r="Q55" s="94" t="e">
        <f t="shared" si="8"/>
        <v>#DIV/0!</v>
      </c>
    </row>
    <row r="56" spans="1:17" ht="16.5">
      <c r="A56" s="89" t="s">
        <v>89</v>
      </c>
      <c r="B56" s="87"/>
      <c r="C56" s="87"/>
      <c r="D56" s="87"/>
      <c r="E56" s="87"/>
      <c r="F56" s="87"/>
    </row>
    <row r="57" spans="1:17">
      <c r="A57" s="89" t="s">
        <v>90</v>
      </c>
      <c r="B57" s="87"/>
      <c r="C57" s="87"/>
      <c r="D57" s="87"/>
      <c r="E57" s="87"/>
      <c r="F57" s="87"/>
    </row>
    <row r="58" spans="1:17">
      <c r="A58" s="86" t="s">
        <v>91</v>
      </c>
      <c r="B58" s="87"/>
      <c r="C58" s="87"/>
      <c r="D58" s="87"/>
      <c r="E58" s="87"/>
      <c r="F58" s="87"/>
    </row>
    <row r="59" spans="1:17">
      <c r="A59" s="86" t="s">
        <v>92</v>
      </c>
      <c r="B59" s="87"/>
      <c r="C59" s="87"/>
      <c r="D59" s="87"/>
      <c r="E59" s="87"/>
      <c r="F59" s="87"/>
    </row>
    <row r="60" spans="1:17">
      <c r="A60" s="88" t="s">
        <v>93</v>
      </c>
      <c r="B60" s="85"/>
      <c r="C60" s="85"/>
      <c r="D60" s="85"/>
      <c r="E60" s="85"/>
      <c r="F60" s="85"/>
    </row>
  </sheetData>
  <sortState ref="A6:D46">
    <sortCondition ref="A6:A46"/>
  </sortState>
  <mergeCells count="6">
    <mergeCell ref="A3:F3"/>
    <mergeCell ref="A2:F2"/>
    <mergeCell ref="G2:Q2"/>
    <mergeCell ref="G3:H3"/>
    <mergeCell ref="J3:K3"/>
    <mergeCell ref="M3:N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F2" sqref="F2"/>
    </sheetView>
  </sheetViews>
  <sheetFormatPr defaultRowHeight="14.5"/>
  <cols>
    <col min="1" max="1" width="98.7265625" customWidth="1"/>
  </cols>
  <sheetData>
    <row r="1" spans="1:5" ht="31.5" customHeight="1">
      <c r="A1" s="243" t="s">
        <v>214</v>
      </c>
    </row>
    <row r="2" spans="1:5" ht="409.5" customHeight="1">
      <c r="A2" s="244" t="s">
        <v>215</v>
      </c>
      <c r="B2" s="242"/>
      <c r="C2" s="242"/>
      <c r="D2" s="242"/>
      <c r="E2" s="242"/>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selection activeCell="V41" sqref="V41"/>
    </sheetView>
  </sheetViews>
  <sheetFormatPr defaultRowHeight="14.5"/>
  <cols>
    <col min="1" max="1" width="9.81640625" customWidth="1"/>
    <col min="2" max="6" width="8.54296875" customWidth="1"/>
    <col min="7" max="7" width="4" customWidth="1"/>
    <col min="8" max="8" width="10.453125" customWidth="1"/>
    <col min="9" max="13" width="8.1796875" customWidth="1"/>
    <col min="14" max="14" width="3" customWidth="1"/>
    <col min="15" max="15" width="10.26953125" customWidth="1"/>
    <col min="16" max="20" width="9.26953125" customWidth="1"/>
    <col min="21" max="21" width="3.81640625" customWidth="1"/>
  </cols>
  <sheetData>
    <row r="1" spans="1:20" ht="96" customHeight="1">
      <c r="A1" s="412" t="s">
        <v>227</v>
      </c>
      <c r="B1" s="413"/>
      <c r="C1" s="413"/>
      <c r="D1" s="413"/>
      <c r="E1" s="413"/>
      <c r="F1" s="413"/>
      <c r="G1" s="413"/>
      <c r="H1" s="413"/>
      <c r="I1" s="413"/>
      <c r="J1" s="413"/>
      <c r="K1" s="413"/>
      <c r="L1" s="413"/>
      <c r="M1" s="413"/>
      <c r="N1" s="413"/>
      <c r="O1" s="413"/>
      <c r="P1" s="413"/>
      <c r="Q1" s="413"/>
      <c r="R1" s="413"/>
      <c r="S1" s="413"/>
      <c r="T1" s="413"/>
    </row>
    <row r="3" spans="1:20" s="212" customFormat="1" ht="30.75" customHeight="1">
      <c r="A3" s="408" t="s">
        <v>224</v>
      </c>
      <c r="B3" s="408"/>
      <c r="C3" s="408"/>
      <c r="D3" s="408"/>
      <c r="E3" s="408"/>
      <c r="F3" s="408"/>
      <c r="H3" s="408" t="s">
        <v>225</v>
      </c>
      <c r="I3" s="408"/>
      <c r="J3" s="408"/>
      <c r="K3" s="408"/>
      <c r="L3" s="408"/>
      <c r="M3" s="408"/>
      <c r="O3" s="408" t="s">
        <v>226</v>
      </c>
      <c r="P3" s="408"/>
      <c r="Q3" s="408"/>
      <c r="R3" s="408"/>
      <c r="S3" s="408"/>
      <c r="T3" s="408"/>
    </row>
    <row r="4" spans="1:20">
      <c r="A4" s="408" t="s">
        <v>188</v>
      </c>
      <c r="B4" s="409" t="s">
        <v>181</v>
      </c>
      <c r="C4" s="410"/>
      <c r="D4" s="410"/>
      <c r="E4" s="410"/>
      <c r="F4" s="411"/>
      <c r="H4" s="408" t="s">
        <v>188</v>
      </c>
      <c r="I4" s="409" t="s">
        <v>181</v>
      </c>
      <c r="J4" s="410"/>
      <c r="K4" s="410"/>
      <c r="L4" s="410"/>
      <c r="M4" s="411"/>
      <c r="O4" s="408" t="s">
        <v>188</v>
      </c>
      <c r="P4" s="409" t="s">
        <v>181</v>
      </c>
      <c r="Q4" s="410"/>
      <c r="R4" s="410"/>
      <c r="S4" s="410"/>
      <c r="T4" s="411"/>
    </row>
    <row r="5" spans="1:20" s="213" customFormat="1">
      <c r="A5" s="408"/>
      <c r="B5" s="217">
        <v>-0.05</v>
      </c>
      <c r="C5" s="217">
        <v>-0.01</v>
      </c>
      <c r="D5" s="216">
        <v>0</v>
      </c>
      <c r="E5" s="217">
        <v>0.01</v>
      </c>
      <c r="F5" s="217">
        <v>0.05</v>
      </c>
      <c r="H5" s="408"/>
      <c r="I5" s="216">
        <f>B5</f>
        <v>-0.05</v>
      </c>
      <c r="J5" s="216">
        <f>C5</f>
        <v>-0.01</v>
      </c>
      <c r="K5" s="216">
        <f>D5</f>
        <v>0</v>
      </c>
      <c r="L5" s="216">
        <f>E5</f>
        <v>0.01</v>
      </c>
      <c r="M5" s="216">
        <f>F5</f>
        <v>0.05</v>
      </c>
      <c r="O5" s="408"/>
      <c r="P5" s="216">
        <f>I5</f>
        <v>-0.05</v>
      </c>
      <c r="Q5" s="216">
        <f>J5</f>
        <v>-0.01</v>
      </c>
      <c r="R5" s="216">
        <f>K5</f>
        <v>0</v>
      </c>
      <c r="S5" s="216">
        <f>L5</f>
        <v>0.01</v>
      </c>
      <c r="T5" s="216">
        <f>M5</f>
        <v>0.05</v>
      </c>
    </row>
    <row r="6" spans="1:20">
      <c r="A6" s="217">
        <v>-0.03</v>
      </c>
      <c r="B6" s="214">
        <f>('Enterprise Budget'!$F$22+('Enterprise Budget'!$F$22*$A6))-('Enterprise Budget'!$F$61+('Enterprise Budget'!$F$61*B$5))</f>
        <v>456.27087500000061</v>
      </c>
      <c r="C6" s="214">
        <f>('Enterprise Budget'!$F$22+('Enterprise Budget'!$F$22*$A6))-('Enterprise Budget'!$F$61+('Enterprise Budget'!$F$61*C$5))</f>
        <v>293.40817500000048</v>
      </c>
      <c r="D6" s="214">
        <f>('Enterprise Budget'!$F$22+('Enterprise Budget'!$F$22*$A6))-('Enterprise Budget'!$F$61+('Enterprise Budget'!$F$61*D$5))</f>
        <v>252.69250000000056</v>
      </c>
      <c r="E6" s="214">
        <f>('Enterprise Budget'!$F$22+('Enterprise Budget'!$F$22*$A6))-('Enterprise Budget'!$F$61+('Enterprise Budget'!$F$61*E$5))</f>
        <v>211.97682500000064</v>
      </c>
      <c r="F6" s="214">
        <f>('Enterprise Budget'!$F$22+('Enterprise Budget'!$F$22*$A6))-('Enterprise Budget'!$F$61+('Enterprise Budget'!$F$61*F$5))</f>
        <v>49.114125000000968</v>
      </c>
      <c r="H6" s="216">
        <f>A6</f>
        <v>-0.03</v>
      </c>
      <c r="I6" s="215">
        <f>B6/('Enterprise Budget'!$F$2/100)</f>
        <v>1.9011286458333359</v>
      </c>
      <c r="J6" s="215">
        <f>C6/('Enterprise Budget'!$F$2/100)</f>
        <v>1.2225340625000021</v>
      </c>
      <c r="K6" s="215">
        <f>D6/('Enterprise Budget'!$F$2/100)</f>
        <v>1.052885416666669</v>
      </c>
      <c r="L6" s="215">
        <f>E6/('Enterprise Budget'!$F$2/100)</f>
        <v>0.88323677083333607</v>
      </c>
      <c r="M6" s="215">
        <f>F6/('Enterprise Budget'!$F$2/100)</f>
        <v>0.20464218750000404</v>
      </c>
      <c r="O6" s="216">
        <f>H6</f>
        <v>-0.03</v>
      </c>
      <c r="P6" s="214">
        <f>B6*'Enterprise Budget'!$F$3</f>
        <v>273762.52500000037</v>
      </c>
      <c r="Q6" s="214">
        <f>C6*'Enterprise Budget'!$F$3</f>
        <v>176044.90500000029</v>
      </c>
      <c r="R6" s="214">
        <f>D6*'Enterprise Budget'!$F$3</f>
        <v>151615.50000000035</v>
      </c>
      <c r="S6" s="214">
        <f>E6*'Enterprise Budget'!$F$3</f>
        <v>127186.09500000038</v>
      </c>
      <c r="T6" s="214">
        <f>F6*'Enterprise Budget'!$F$3</f>
        <v>29468.475000000581</v>
      </c>
    </row>
    <row r="7" spans="1:20">
      <c r="A7" s="217">
        <v>-0.01</v>
      </c>
      <c r="B7" s="214">
        <f>('Enterprise Budget'!$F$22+('Enterprise Budget'!$F$22*$A7))-('Enterprise Budget'!$F$61+('Enterprise Budget'!$F$61*B$5))</f>
        <v>545.43087500000047</v>
      </c>
      <c r="C7" s="214">
        <f>('Enterprise Budget'!$F$22+('Enterprise Budget'!$F$22*$A7))-('Enterprise Budget'!$F$61+('Enterprise Budget'!$F$61*C$5))</f>
        <v>382.56817500000034</v>
      </c>
      <c r="D7" s="214">
        <f>('Enterprise Budget'!$F$22+('Enterprise Budget'!$F$22*$A7))-('Enterprise Budget'!$F$61+('Enterprise Budget'!$F$61*D$5))</f>
        <v>341.85250000000042</v>
      </c>
      <c r="E7" s="214">
        <f>('Enterprise Budget'!$F$22+('Enterprise Budget'!$F$22*$A7))-('Enterprise Budget'!$F$61+('Enterprise Budget'!$F$61*E$5))</f>
        <v>301.1368250000005</v>
      </c>
      <c r="F7" s="214">
        <f>('Enterprise Budget'!$F$22+('Enterprise Budget'!$F$22*$A7))-('Enterprise Budget'!$F$61+('Enterprise Budget'!$F$61*F$5))</f>
        <v>138.27412500000082</v>
      </c>
      <c r="H7" s="216">
        <f>A7</f>
        <v>-0.01</v>
      </c>
      <c r="I7" s="215">
        <f>B7/('Enterprise Budget'!$F$2/100)</f>
        <v>2.2726286458333353</v>
      </c>
      <c r="J7" s="215">
        <f>C7/('Enterprise Budget'!$F$2/100)</f>
        <v>1.5940340625000013</v>
      </c>
      <c r="K7" s="215">
        <f>D7/('Enterprise Budget'!$F$2/100)</f>
        <v>1.4243854166666685</v>
      </c>
      <c r="L7" s="215">
        <f>E7/('Enterprise Budget'!$F$2/100)</f>
        <v>1.2547367708333355</v>
      </c>
      <c r="M7" s="215">
        <f>F7/('Enterprise Budget'!$F$2/100)</f>
        <v>0.57614218750000346</v>
      </c>
      <c r="O7" s="216">
        <f>H7</f>
        <v>-0.01</v>
      </c>
      <c r="P7" s="214">
        <f>B7*'Enterprise Budget'!$F$3</f>
        <v>327258.52500000026</v>
      </c>
      <c r="Q7" s="214">
        <f>C7*'Enterprise Budget'!$F$3</f>
        <v>229540.9050000002</v>
      </c>
      <c r="R7" s="214">
        <f>D7*'Enterprise Budget'!$F$3</f>
        <v>205111.50000000026</v>
      </c>
      <c r="S7" s="214">
        <f>E7*'Enterprise Budget'!$F$3</f>
        <v>180682.09500000029</v>
      </c>
      <c r="T7" s="214">
        <f>F7*'Enterprise Budget'!$F$3</f>
        <v>82964.475000000501</v>
      </c>
    </row>
    <row r="8" spans="1:20">
      <c r="A8" s="216">
        <v>0</v>
      </c>
      <c r="B8" s="214">
        <f>('Enterprise Budget'!$F$22+('Enterprise Budget'!$F$22*$A8))-('Enterprise Budget'!$F$61+('Enterprise Budget'!$F$61*B$5))</f>
        <v>590.0108750000004</v>
      </c>
      <c r="C8" s="214">
        <f>('Enterprise Budget'!$F$22+('Enterprise Budget'!$F$22*$A8))-('Enterprise Budget'!$F$61+('Enterprise Budget'!$F$61*C$5))</f>
        <v>427.14817500000026</v>
      </c>
      <c r="D8" s="223">
        <f>('Enterprise Budget'!$F$22+('Enterprise Budget'!$F$22*$A8))-('Enterprise Budget'!$F$61+('Enterprise Budget'!$F$61*D$5))</f>
        <v>386.43250000000035</v>
      </c>
      <c r="E8" s="214">
        <f>('Enterprise Budget'!$F$22+('Enterprise Budget'!$F$22*$A8))-('Enterprise Budget'!$F$61+('Enterprise Budget'!$F$61*E$5))</f>
        <v>345.71682500000043</v>
      </c>
      <c r="F8" s="214">
        <f>('Enterprise Budget'!$F$22+('Enterprise Budget'!$F$22*$A8))-('Enterprise Budget'!$F$61+('Enterprise Budget'!$F$61*F$5))</f>
        <v>182.85412500000075</v>
      </c>
      <c r="H8" s="216">
        <f>A8</f>
        <v>0</v>
      </c>
      <c r="I8" s="215">
        <f>B8/('Enterprise Budget'!$F$2/100)</f>
        <v>2.458378645833335</v>
      </c>
      <c r="J8" s="215">
        <f>C8/('Enterprise Budget'!$F$2/100)</f>
        <v>1.7797840625000012</v>
      </c>
      <c r="K8" s="224">
        <f>D8/('Enterprise Budget'!$F$2/100)</f>
        <v>1.6101354166666682</v>
      </c>
      <c r="L8" s="215">
        <f>E8/('Enterprise Budget'!$F$2/100)</f>
        <v>1.4404867708333351</v>
      </c>
      <c r="M8" s="215">
        <f>F8/('Enterprise Budget'!$F$2/100)</f>
        <v>0.76189218750000309</v>
      </c>
      <c r="O8" s="216">
        <f>H8</f>
        <v>0</v>
      </c>
      <c r="P8" s="214">
        <f>B8*'Enterprise Budget'!$F$3</f>
        <v>354006.52500000026</v>
      </c>
      <c r="Q8" s="214">
        <f>C8*'Enterprise Budget'!$F$3</f>
        <v>256288.90500000014</v>
      </c>
      <c r="R8" s="223">
        <f>D8*'Enterprise Budget'!$F$3</f>
        <v>231859.5000000002</v>
      </c>
      <c r="S8" s="214">
        <f>E8*'Enterprise Budget'!$F$3</f>
        <v>207430.09500000026</v>
      </c>
      <c r="T8" s="214">
        <f>F8*'Enterprise Budget'!$F$3</f>
        <v>109712.47500000044</v>
      </c>
    </row>
    <row r="9" spans="1:20">
      <c r="A9" s="217">
        <v>0.01</v>
      </c>
      <c r="B9" s="214">
        <f>('Enterprise Budget'!$F$22+('Enterprise Budget'!$F$22*$A9))-('Enterprise Budget'!$F$61+('Enterprise Budget'!$F$61*B$5))</f>
        <v>634.59087500000032</v>
      </c>
      <c r="C9" s="214">
        <f>('Enterprise Budget'!$F$22+('Enterprise Budget'!$F$22*$A9))-('Enterprise Budget'!$F$61+('Enterprise Budget'!$F$61*C$5))</f>
        <v>471.72817500000019</v>
      </c>
      <c r="D9" s="214">
        <f>('Enterprise Budget'!$F$22+('Enterprise Budget'!$F$22*$A9))-('Enterprise Budget'!$F$61+('Enterprise Budget'!$F$61*D$5))</f>
        <v>431.01250000000027</v>
      </c>
      <c r="E9" s="214">
        <f>('Enterprise Budget'!$F$22+('Enterprise Budget'!$F$22*$A9))-('Enterprise Budget'!$F$61+('Enterprise Budget'!$F$61*E$5))</f>
        <v>390.29682500000035</v>
      </c>
      <c r="F9" s="214">
        <f>('Enterprise Budget'!$F$22+('Enterprise Budget'!$F$22*$A9))-('Enterprise Budget'!$F$61+('Enterprise Budget'!$F$61*F$5))</f>
        <v>227.43412500000068</v>
      </c>
      <c r="H9" s="216">
        <f>A9</f>
        <v>0.01</v>
      </c>
      <c r="I9" s="215">
        <f>B9/('Enterprise Budget'!$F$2/100)</f>
        <v>2.6441286458333346</v>
      </c>
      <c r="J9" s="215">
        <f>C9/('Enterprise Budget'!$F$2/100)</f>
        <v>1.9655340625000008</v>
      </c>
      <c r="K9" s="215">
        <f>D9/('Enterprise Budget'!$F$2/100)</f>
        <v>1.7958854166666678</v>
      </c>
      <c r="L9" s="215">
        <f>E9/('Enterprise Budget'!$F$2/100)</f>
        <v>1.6262367708333347</v>
      </c>
      <c r="M9" s="215">
        <f>F9/('Enterprise Budget'!$F$2/100)</f>
        <v>0.94764218750000284</v>
      </c>
      <c r="O9" s="216">
        <f>H9</f>
        <v>0.01</v>
      </c>
      <c r="P9" s="214">
        <f>B9*'Enterprise Budget'!$F$3</f>
        <v>380754.5250000002</v>
      </c>
      <c r="Q9" s="214">
        <f>C9*'Enterprise Budget'!$F$3</f>
        <v>283036.90500000014</v>
      </c>
      <c r="R9" s="214">
        <f>D9*'Enterprise Budget'!$F$3</f>
        <v>258607.50000000017</v>
      </c>
      <c r="S9" s="214">
        <f>E9*'Enterprise Budget'!$F$3</f>
        <v>234178.0950000002</v>
      </c>
      <c r="T9" s="214">
        <f>F9*'Enterprise Budget'!$F$3</f>
        <v>136460.47500000041</v>
      </c>
    </row>
    <row r="10" spans="1:20">
      <c r="A10" s="217">
        <v>0.03</v>
      </c>
      <c r="B10" s="214">
        <f>('Enterprise Budget'!$F$22+('Enterprise Budget'!$F$22*$A10))-('Enterprise Budget'!$F$61+('Enterprise Budget'!$F$61*B$5))</f>
        <v>723.75087500000018</v>
      </c>
      <c r="C10" s="214">
        <f>('Enterprise Budget'!$F$22+('Enterprise Budget'!$F$22*$A10))-('Enterprise Budget'!$F$61+('Enterprise Budget'!$F$61*C$5))</f>
        <v>560.88817500000005</v>
      </c>
      <c r="D10" s="214">
        <f>('Enterprise Budget'!$F$22+('Enterprise Budget'!$F$22*$A10))-('Enterprise Budget'!$F$61+('Enterprise Budget'!$F$61*D$5))</f>
        <v>520.17250000000013</v>
      </c>
      <c r="E10" s="214">
        <f>('Enterprise Budget'!$F$22+('Enterprise Budget'!$F$22*$A10))-('Enterprise Budget'!$F$61+('Enterprise Budget'!$F$61*E$5))</f>
        <v>479.45682500000021</v>
      </c>
      <c r="F10" s="214">
        <f>('Enterprise Budget'!$F$22+('Enterprise Budget'!$F$22*$A10))-('Enterprise Budget'!$F$61+('Enterprise Budget'!$F$61*F$5))</f>
        <v>316.59412500000053</v>
      </c>
      <c r="H10" s="216">
        <f>A10</f>
        <v>0.03</v>
      </c>
      <c r="I10" s="215">
        <f>B10/('Enterprise Budget'!$F$2/100)</f>
        <v>3.0156286458333339</v>
      </c>
      <c r="J10" s="215">
        <f>C10/('Enterprise Budget'!$F$2/100)</f>
        <v>2.3370340625000003</v>
      </c>
      <c r="K10" s="215">
        <f>D10/('Enterprise Budget'!$F$2/100)</f>
        <v>2.1673854166666673</v>
      </c>
      <c r="L10" s="215">
        <f>E10/('Enterprise Budget'!$F$2/100)</f>
        <v>1.9977367708333342</v>
      </c>
      <c r="M10" s="215">
        <f>F10/('Enterprise Budget'!$F$2/100)</f>
        <v>1.3191421875000022</v>
      </c>
      <c r="O10" s="216">
        <f>H10</f>
        <v>0.03</v>
      </c>
      <c r="P10" s="214">
        <f>B10*'Enterprise Budget'!$F$3</f>
        <v>434250.52500000008</v>
      </c>
      <c r="Q10" s="214">
        <f>C10*'Enterprise Budget'!$F$3</f>
        <v>336532.90500000003</v>
      </c>
      <c r="R10" s="214">
        <f>D10*'Enterprise Budget'!$F$3</f>
        <v>312103.50000000006</v>
      </c>
      <c r="S10" s="214">
        <f>E10*'Enterprise Budget'!$F$3</f>
        <v>287674.09500000015</v>
      </c>
      <c r="T10" s="214">
        <f>F10*'Enterprise Budget'!$F$3</f>
        <v>189956.47500000033</v>
      </c>
    </row>
    <row r="11" spans="1:20" ht="32.25" customHeight="1"/>
    <row r="12" spans="1:20">
      <c r="A12" s="408" t="s">
        <v>186</v>
      </c>
      <c r="B12" s="408"/>
      <c r="C12" s="408"/>
      <c r="D12" s="408"/>
      <c r="E12" s="408"/>
      <c r="F12" s="408"/>
      <c r="H12" s="408" t="s">
        <v>185</v>
      </c>
      <c r="I12" s="408"/>
      <c r="J12" s="408"/>
      <c r="K12" s="408"/>
      <c r="L12" s="408"/>
      <c r="M12" s="408"/>
      <c r="O12" s="408" t="s">
        <v>187</v>
      </c>
      <c r="P12" s="408"/>
      <c r="Q12" s="408"/>
      <c r="R12" s="408"/>
      <c r="S12" s="408"/>
      <c r="T12" s="408"/>
    </row>
    <row r="13" spans="1:20">
      <c r="A13" s="408" t="s">
        <v>188</v>
      </c>
      <c r="B13" s="416" t="s">
        <v>181</v>
      </c>
      <c r="C13" s="416"/>
      <c r="D13" s="416"/>
      <c r="E13" s="416"/>
      <c r="F13" s="416"/>
      <c r="H13" s="408" t="s">
        <v>188</v>
      </c>
      <c r="I13" s="416" t="s">
        <v>181</v>
      </c>
      <c r="J13" s="416"/>
      <c r="K13" s="416"/>
      <c r="L13" s="416"/>
      <c r="M13" s="416"/>
      <c r="O13" s="408" t="s">
        <v>188</v>
      </c>
      <c r="P13" s="416" t="s">
        <v>181</v>
      </c>
      <c r="Q13" s="416"/>
      <c r="R13" s="416"/>
      <c r="S13" s="416"/>
      <c r="T13" s="416"/>
    </row>
    <row r="14" spans="1:20">
      <c r="A14" s="408"/>
      <c r="B14" s="216">
        <f>B5</f>
        <v>-0.05</v>
      </c>
      <c r="C14" s="216">
        <f t="shared" ref="C14:F14" si="0">C5</f>
        <v>-0.01</v>
      </c>
      <c r="D14" s="216">
        <f t="shared" si="0"/>
        <v>0</v>
      </c>
      <c r="E14" s="216">
        <f t="shared" si="0"/>
        <v>0.01</v>
      </c>
      <c r="F14" s="216">
        <f t="shared" si="0"/>
        <v>0.05</v>
      </c>
      <c r="H14" s="408"/>
      <c r="I14" s="216">
        <f>I5</f>
        <v>-0.05</v>
      </c>
      <c r="J14" s="216">
        <f t="shared" ref="J14:M14" si="1">J5</f>
        <v>-0.01</v>
      </c>
      <c r="K14" s="216">
        <f t="shared" si="1"/>
        <v>0</v>
      </c>
      <c r="L14" s="216">
        <f t="shared" si="1"/>
        <v>0.01</v>
      </c>
      <c r="M14" s="216">
        <f t="shared" si="1"/>
        <v>0.05</v>
      </c>
      <c r="O14" s="408"/>
      <c r="P14" s="216">
        <f>P5</f>
        <v>-0.05</v>
      </c>
      <c r="Q14" s="216">
        <f t="shared" ref="Q14:T14" si="2">Q5</f>
        <v>-0.01</v>
      </c>
      <c r="R14" s="216">
        <f t="shared" si="2"/>
        <v>0</v>
      </c>
      <c r="S14" s="216">
        <f t="shared" si="2"/>
        <v>0.01</v>
      </c>
      <c r="T14" s="216">
        <f t="shared" si="2"/>
        <v>0.05</v>
      </c>
    </row>
    <row r="15" spans="1:20">
      <c r="A15" s="216">
        <f>A6</f>
        <v>-0.03</v>
      </c>
      <c r="B15" s="214">
        <f>B6-$D$8</f>
        <v>69.838375000000269</v>
      </c>
      <c r="C15" s="214">
        <f t="shared" ref="C15:F15" si="3">C6-$D$8</f>
        <v>-93.024324999999862</v>
      </c>
      <c r="D15" s="214">
        <f t="shared" si="3"/>
        <v>-133.73999999999978</v>
      </c>
      <c r="E15" s="214">
        <f t="shared" si="3"/>
        <v>-174.4556749999997</v>
      </c>
      <c r="F15" s="214">
        <f t="shared" si="3"/>
        <v>-337.31837499999938</v>
      </c>
      <c r="H15" s="216">
        <f>H6</f>
        <v>-0.03</v>
      </c>
      <c r="I15" s="215">
        <f>I6-$K$8</f>
        <v>0.2909932291666677</v>
      </c>
      <c r="J15" s="215">
        <f t="shared" ref="J15:M15" si="4">J6-$K$8</f>
        <v>-0.38760135416666608</v>
      </c>
      <c r="K15" s="215">
        <f t="shared" si="4"/>
        <v>-0.55724999999999913</v>
      </c>
      <c r="L15" s="215">
        <f t="shared" si="4"/>
        <v>-0.72689864583333208</v>
      </c>
      <c r="M15" s="215">
        <f t="shared" si="4"/>
        <v>-1.4054932291666642</v>
      </c>
      <c r="O15" s="216">
        <f>O6</f>
        <v>-0.03</v>
      </c>
      <c r="P15" s="214">
        <f>P6-$R$8</f>
        <v>41903.025000000169</v>
      </c>
      <c r="Q15" s="214">
        <f t="shared" ref="Q15:T15" si="5">Q6-$R$8</f>
        <v>-55814.594999999914</v>
      </c>
      <c r="R15" s="214">
        <f t="shared" si="5"/>
        <v>-80243.999999999854</v>
      </c>
      <c r="S15" s="214">
        <f t="shared" si="5"/>
        <v>-104673.40499999982</v>
      </c>
      <c r="T15" s="214">
        <f t="shared" si="5"/>
        <v>-202391.02499999962</v>
      </c>
    </row>
    <row r="16" spans="1:20">
      <c r="A16" s="216">
        <f t="shared" ref="A16:A19" si="6">A7</f>
        <v>-0.01</v>
      </c>
      <c r="B16" s="214">
        <f t="shared" ref="B16:F19" si="7">B7-$D$8</f>
        <v>158.99837500000012</v>
      </c>
      <c r="C16" s="214">
        <f t="shared" si="7"/>
        <v>-3.864325000000008</v>
      </c>
      <c r="D16" s="214">
        <f t="shared" si="7"/>
        <v>-44.579999999999927</v>
      </c>
      <c r="E16" s="214">
        <f t="shared" si="7"/>
        <v>-85.295674999999846</v>
      </c>
      <c r="F16" s="214">
        <f t="shared" si="7"/>
        <v>-248.15837499999952</v>
      </c>
      <c r="H16" s="216">
        <f t="shared" ref="H16:H19" si="8">H7</f>
        <v>-0.01</v>
      </c>
      <c r="I16" s="215">
        <f t="shared" ref="I16:M19" si="9">I7-$K$8</f>
        <v>0.6624932291666672</v>
      </c>
      <c r="J16" s="215">
        <f t="shared" si="9"/>
        <v>-1.6101354166666804E-2</v>
      </c>
      <c r="K16" s="215">
        <f t="shared" si="9"/>
        <v>-0.18574999999999964</v>
      </c>
      <c r="L16" s="215">
        <f t="shared" si="9"/>
        <v>-0.35539864583333269</v>
      </c>
      <c r="M16" s="215">
        <f t="shared" si="9"/>
        <v>-1.0339932291666647</v>
      </c>
      <c r="O16" s="216">
        <f t="shared" ref="O16:O19" si="10">O7</f>
        <v>-0.01</v>
      </c>
      <c r="P16" s="214">
        <f t="shared" ref="P16:T19" si="11">P7-$R$8</f>
        <v>95399.025000000052</v>
      </c>
      <c r="Q16" s="214">
        <f t="shared" si="11"/>
        <v>-2318.5950000000012</v>
      </c>
      <c r="R16" s="214">
        <f t="shared" si="11"/>
        <v>-26747.999999999942</v>
      </c>
      <c r="S16" s="214">
        <f t="shared" si="11"/>
        <v>-51177.404999999912</v>
      </c>
      <c r="T16" s="214">
        <f t="shared" si="11"/>
        <v>-148895.0249999997</v>
      </c>
    </row>
    <row r="17" spans="1:21">
      <c r="A17" s="216">
        <f t="shared" si="6"/>
        <v>0</v>
      </c>
      <c r="B17" s="214">
        <f t="shared" si="7"/>
        <v>203.57837500000005</v>
      </c>
      <c r="C17" s="214">
        <f t="shared" si="7"/>
        <v>40.715674999999919</v>
      </c>
      <c r="D17" s="223">
        <f t="shared" si="7"/>
        <v>0</v>
      </c>
      <c r="E17" s="214">
        <f t="shared" si="7"/>
        <v>-40.715674999999919</v>
      </c>
      <c r="F17" s="214">
        <f t="shared" si="7"/>
        <v>-203.5783749999996</v>
      </c>
      <c r="H17" s="216">
        <f t="shared" si="8"/>
        <v>0</v>
      </c>
      <c r="I17" s="215">
        <f t="shared" si="9"/>
        <v>0.84824322916666683</v>
      </c>
      <c r="J17" s="215">
        <f t="shared" si="9"/>
        <v>0.16964864583333306</v>
      </c>
      <c r="K17" s="224">
        <f t="shared" si="9"/>
        <v>0</v>
      </c>
      <c r="L17" s="215">
        <f t="shared" si="9"/>
        <v>-0.16964864583333306</v>
      </c>
      <c r="M17" s="215">
        <f t="shared" si="9"/>
        <v>-0.84824322916666506</v>
      </c>
      <c r="O17" s="216">
        <f t="shared" si="10"/>
        <v>0</v>
      </c>
      <c r="P17" s="214">
        <f t="shared" si="11"/>
        <v>122147.02500000005</v>
      </c>
      <c r="Q17" s="214">
        <f t="shared" si="11"/>
        <v>24429.404999999941</v>
      </c>
      <c r="R17" s="223">
        <f t="shared" si="11"/>
        <v>0</v>
      </c>
      <c r="S17" s="214">
        <f t="shared" si="11"/>
        <v>-24429.404999999941</v>
      </c>
      <c r="T17" s="214">
        <f t="shared" si="11"/>
        <v>-122147.02499999976</v>
      </c>
    </row>
    <row r="18" spans="1:21">
      <c r="A18" s="216">
        <f t="shared" si="6"/>
        <v>0.01</v>
      </c>
      <c r="B18" s="214">
        <f t="shared" si="7"/>
        <v>248.15837499999998</v>
      </c>
      <c r="C18" s="214">
        <f t="shared" si="7"/>
        <v>85.295674999999846</v>
      </c>
      <c r="D18" s="214">
        <f t="shared" si="7"/>
        <v>44.579999999999927</v>
      </c>
      <c r="E18" s="214">
        <f t="shared" si="7"/>
        <v>3.864325000000008</v>
      </c>
      <c r="F18" s="214">
        <f t="shared" si="7"/>
        <v>-158.99837499999967</v>
      </c>
      <c r="H18" s="216">
        <f t="shared" si="8"/>
        <v>0.01</v>
      </c>
      <c r="I18" s="215">
        <f t="shared" si="9"/>
        <v>1.0339932291666665</v>
      </c>
      <c r="J18" s="215">
        <f t="shared" si="9"/>
        <v>0.35539864583333269</v>
      </c>
      <c r="K18" s="215">
        <f t="shared" si="9"/>
        <v>0.18574999999999964</v>
      </c>
      <c r="L18" s="215">
        <f t="shared" si="9"/>
        <v>1.6101354166666582E-2</v>
      </c>
      <c r="M18" s="215">
        <f t="shared" si="9"/>
        <v>-0.66249322916666531</v>
      </c>
      <c r="O18" s="216">
        <f t="shared" si="10"/>
        <v>0.01</v>
      </c>
      <c r="P18" s="214">
        <f t="shared" si="11"/>
        <v>148895.02499999999</v>
      </c>
      <c r="Q18" s="214">
        <f t="shared" si="11"/>
        <v>51177.404999999941</v>
      </c>
      <c r="R18" s="214">
        <f t="shared" si="11"/>
        <v>26747.999999999971</v>
      </c>
      <c r="S18" s="214">
        <f t="shared" si="11"/>
        <v>2318.5950000000012</v>
      </c>
      <c r="T18" s="214">
        <f t="shared" si="11"/>
        <v>-95399.02499999979</v>
      </c>
    </row>
    <row r="19" spans="1:21">
      <c r="A19" s="216">
        <f t="shared" si="6"/>
        <v>0.03</v>
      </c>
      <c r="B19" s="214">
        <f t="shared" si="7"/>
        <v>337.31837499999983</v>
      </c>
      <c r="C19" s="214">
        <f t="shared" si="7"/>
        <v>174.4556749999997</v>
      </c>
      <c r="D19" s="214">
        <f t="shared" si="7"/>
        <v>133.73999999999978</v>
      </c>
      <c r="E19" s="214">
        <f t="shared" si="7"/>
        <v>93.024324999999862</v>
      </c>
      <c r="F19" s="214">
        <f t="shared" si="7"/>
        <v>-69.838374999999814</v>
      </c>
      <c r="H19" s="216">
        <f t="shared" si="8"/>
        <v>0.03</v>
      </c>
      <c r="I19" s="215">
        <f t="shared" si="9"/>
        <v>1.4054932291666657</v>
      </c>
      <c r="J19" s="215">
        <f t="shared" si="9"/>
        <v>0.72689864583333219</v>
      </c>
      <c r="K19" s="215">
        <f t="shared" si="9"/>
        <v>0.55724999999999913</v>
      </c>
      <c r="L19" s="215">
        <f t="shared" si="9"/>
        <v>0.38760135416666608</v>
      </c>
      <c r="M19" s="215">
        <f t="shared" si="9"/>
        <v>-0.29099322916666592</v>
      </c>
      <c r="O19" s="216">
        <f t="shared" si="10"/>
        <v>0.03</v>
      </c>
      <c r="P19" s="214">
        <f t="shared" si="11"/>
        <v>202391.02499999988</v>
      </c>
      <c r="Q19" s="214">
        <f t="shared" si="11"/>
        <v>104673.40499999982</v>
      </c>
      <c r="R19" s="214">
        <f t="shared" si="11"/>
        <v>80243.999999999854</v>
      </c>
      <c r="S19" s="214">
        <f t="shared" si="11"/>
        <v>55814.594999999943</v>
      </c>
      <c r="T19" s="214">
        <f t="shared" si="11"/>
        <v>-41903.024999999878</v>
      </c>
    </row>
    <row r="26" spans="1:21" ht="30.75" customHeight="1">
      <c r="A26" s="408" t="s">
        <v>182</v>
      </c>
      <c r="B26" s="408"/>
      <c r="C26" s="408"/>
      <c r="D26" s="408"/>
      <c r="E26" s="408"/>
      <c r="F26" s="408"/>
      <c r="H26" s="408" t="s">
        <v>183</v>
      </c>
      <c r="I26" s="408"/>
      <c r="J26" s="408"/>
      <c r="K26" s="408"/>
      <c r="L26" s="408"/>
      <c r="M26" s="408"/>
      <c r="N26" s="212"/>
      <c r="O26" s="408" t="s">
        <v>190</v>
      </c>
      <c r="P26" s="408"/>
      <c r="Q26" s="408"/>
      <c r="R26" s="408"/>
      <c r="S26" s="408"/>
      <c r="T26" s="408"/>
      <c r="U26" s="212"/>
    </row>
    <row r="27" spans="1:21">
      <c r="A27" s="414" t="s">
        <v>189</v>
      </c>
      <c r="B27" s="409" t="s">
        <v>13</v>
      </c>
      <c r="C27" s="410"/>
      <c r="D27" s="410"/>
      <c r="E27" s="410"/>
      <c r="F27" s="411"/>
      <c r="H27" s="414" t="s">
        <v>189</v>
      </c>
      <c r="I27" s="409" t="s">
        <v>13</v>
      </c>
      <c r="J27" s="410"/>
      <c r="K27" s="410"/>
      <c r="L27" s="410"/>
      <c r="M27" s="411"/>
      <c r="O27" s="414" t="s">
        <v>189</v>
      </c>
      <c r="P27" s="409" t="s">
        <v>13</v>
      </c>
      <c r="Q27" s="410"/>
      <c r="R27" s="410"/>
      <c r="S27" s="410"/>
      <c r="T27" s="411"/>
    </row>
    <row r="28" spans="1:21">
      <c r="A28" s="415"/>
      <c r="B28" s="218">
        <v>15</v>
      </c>
      <c r="C28" s="218">
        <v>16.75</v>
      </c>
      <c r="D28" s="220">
        <f>'Enterprise Budget'!F4</f>
        <v>17</v>
      </c>
      <c r="E28" s="218">
        <v>18</v>
      </c>
      <c r="F28" s="218">
        <v>19</v>
      </c>
      <c r="H28" s="415"/>
      <c r="I28" s="221">
        <f>B28</f>
        <v>15</v>
      </c>
      <c r="J28" s="221">
        <f>C28</f>
        <v>16.75</v>
      </c>
      <c r="K28" s="221">
        <f>D28</f>
        <v>17</v>
      </c>
      <c r="L28" s="221">
        <f>E28</f>
        <v>18</v>
      </c>
      <c r="M28" s="221">
        <f>F28</f>
        <v>19</v>
      </c>
      <c r="N28" s="222"/>
      <c r="O28" s="415"/>
      <c r="P28" s="221">
        <f>I28</f>
        <v>15</v>
      </c>
      <c r="Q28" s="221">
        <f>J28</f>
        <v>16.75</v>
      </c>
      <c r="R28" s="221">
        <f>K28</f>
        <v>17</v>
      </c>
      <c r="S28" s="221">
        <f>L28</f>
        <v>18</v>
      </c>
      <c r="T28" s="221">
        <f>M28</f>
        <v>19</v>
      </c>
      <c r="U28" s="222"/>
    </row>
    <row r="29" spans="1:21">
      <c r="A29" s="219">
        <v>21000</v>
      </c>
      <c r="B29" s="214">
        <f>(SUM('Enterprise Budget'!$F$17:'Enterprise Budget'!$F$21)+(($A29/100)*B$28))-('Enterprise Budget'!$F$61)</f>
        <v>-543.56749999999965</v>
      </c>
      <c r="C29" s="214">
        <f>(SUM('Enterprise Budget'!$F$17:'Enterprise Budget'!$F$21)+(($A29/100)*C$28))-('Enterprise Budget'!$F$61)</f>
        <v>-176.06749999999965</v>
      </c>
      <c r="D29" s="214">
        <f>(SUM('Enterprise Budget'!$F$17:'Enterprise Budget'!$F$21)+(($A29/100)*D$28))-('Enterprise Budget'!$F$61)</f>
        <v>-123.56749999999965</v>
      </c>
      <c r="E29" s="214">
        <f>(SUM('Enterprise Budget'!$F$17:'Enterprise Budget'!$F$21)+(($A29/100)*E$28))-('Enterprise Budget'!$F$61)</f>
        <v>86.432500000000346</v>
      </c>
      <c r="F29" s="214">
        <f>(SUM('Enterprise Budget'!$F$17:'Enterprise Budget'!$F$21)+(($A29/100)*F$28))-('Enterprise Budget'!$F$61)</f>
        <v>296.43250000000035</v>
      </c>
      <c r="H29" s="136">
        <f>A29</f>
        <v>21000</v>
      </c>
      <c r="I29" s="215">
        <f>B29/('Enterprise Budget'!$F$2/100)</f>
        <v>-2.2648645833333321</v>
      </c>
      <c r="J29" s="215">
        <f>C29/('Enterprise Budget'!$F$2/100)</f>
        <v>-0.73361458333333185</v>
      </c>
      <c r="K29" s="215">
        <f>D29/('Enterprise Budget'!$F$2/100)</f>
        <v>-0.51486458333333185</v>
      </c>
      <c r="L29" s="215">
        <f>E29/('Enterprise Budget'!$F$2/100)</f>
        <v>0.3601354166666681</v>
      </c>
      <c r="M29" s="215">
        <f>F29/('Enterprise Budget'!$F$2/100)</f>
        <v>1.2351354166666682</v>
      </c>
      <c r="O29" s="136">
        <f>H29</f>
        <v>21000</v>
      </c>
      <c r="P29" s="214">
        <f>B29*'Enterprise Budget'!$F$3</f>
        <v>-326140.49999999977</v>
      </c>
      <c r="Q29" s="214">
        <f>C29*'Enterprise Budget'!$F$3</f>
        <v>-105640.4999999998</v>
      </c>
      <c r="R29" s="214">
        <f>D29*'Enterprise Budget'!$F$3</f>
        <v>-74140.499999999796</v>
      </c>
      <c r="S29" s="214">
        <f>E29*'Enterprise Budget'!$F$3</f>
        <v>51859.500000000204</v>
      </c>
      <c r="T29" s="214">
        <f>F29*'Enterprise Budget'!$F$3</f>
        <v>177859.5000000002</v>
      </c>
    </row>
    <row r="30" spans="1:21">
      <c r="A30" s="219">
        <v>23000</v>
      </c>
      <c r="B30" s="214">
        <f>(SUM('Enterprise Budget'!$F$17:'Enterprise Budget'!$F$21)+(($A30/100)*B$28))-('Enterprise Budget'!$F$61)</f>
        <v>-243.56749999999965</v>
      </c>
      <c r="C30" s="214">
        <f>(SUM('Enterprise Budget'!$F$17:'Enterprise Budget'!$F$21)+(($A30/100)*C$28))-('Enterprise Budget'!$F$61)</f>
        <v>158.93250000000035</v>
      </c>
      <c r="D30" s="214">
        <f>(SUM('Enterprise Budget'!$F$17:'Enterprise Budget'!$F$21)+(($A30/100)*D$28))-('Enterprise Budget'!$F$61)</f>
        <v>216.43250000000035</v>
      </c>
      <c r="E30" s="214">
        <f>(SUM('Enterprise Budget'!$F$17:'Enterprise Budget'!$F$21)+(($A30/100)*E$28))-('Enterprise Budget'!$F$61)</f>
        <v>446.43250000000035</v>
      </c>
      <c r="F30" s="214">
        <f>(SUM('Enterprise Budget'!$F$17:'Enterprise Budget'!$F$21)+(($A30/100)*F$28))-('Enterprise Budget'!$F$61)</f>
        <v>676.43250000000035</v>
      </c>
      <c r="H30" s="136">
        <f>A30</f>
        <v>23000</v>
      </c>
      <c r="I30" s="215">
        <f>B30/('Enterprise Budget'!$F$2/100)</f>
        <v>-1.0148645833333318</v>
      </c>
      <c r="J30" s="215">
        <f>C30/('Enterprise Budget'!$F$2/100)</f>
        <v>0.66221875000000141</v>
      </c>
      <c r="K30" s="215">
        <f>D30/('Enterprise Budget'!$F$2/100)</f>
        <v>0.90180208333333478</v>
      </c>
      <c r="L30" s="215">
        <f>E30/('Enterprise Budget'!$F$2/100)</f>
        <v>1.8601354166666682</v>
      </c>
      <c r="M30" s="215">
        <f>F30/('Enterprise Budget'!$F$2/100)</f>
        <v>2.8184687500000014</v>
      </c>
      <c r="O30" s="136">
        <f>H30</f>
        <v>23000</v>
      </c>
      <c r="P30" s="214">
        <f>B30*'Enterprise Budget'!$F$3</f>
        <v>-146140.4999999998</v>
      </c>
      <c r="Q30" s="214">
        <f>C30*'Enterprise Budget'!$F$3</f>
        <v>95359.500000000204</v>
      </c>
      <c r="R30" s="214">
        <f>D30*'Enterprise Budget'!$F$3</f>
        <v>129859.5000000002</v>
      </c>
      <c r="S30" s="214">
        <f>E30*'Enterprise Budget'!$F$3</f>
        <v>267859.50000000023</v>
      </c>
      <c r="T30" s="214">
        <f>F30*'Enterprise Budget'!$F$3</f>
        <v>405859.50000000023</v>
      </c>
    </row>
    <row r="31" spans="1:21">
      <c r="A31" s="136">
        <f>'Enterprise Budget'!F2</f>
        <v>24000</v>
      </c>
      <c r="B31" s="214">
        <f>(SUM('Enterprise Budget'!$F$17:'Enterprise Budget'!$F$21)+(($A31/100)*B$28))-('Enterprise Budget'!$F$61)</f>
        <v>-93.567499999999654</v>
      </c>
      <c r="C31" s="214">
        <f>(SUM('Enterprise Budget'!$F$17:'Enterprise Budget'!$F$21)+(($A31/100)*C$28))-('Enterprise Budget'!$F$61)</f>
        <v>326.43250000000035</v>
      </c>
      <c r="D31" s="223">
        <f>(SUM('Enterprise Budget'!$F$17:'Enterprise Budget'!$F$21)+(($A31/100)*D$28))-('Enterprise Budget'!$F$61)</f>
        <v>386.43250000000035</v>
      </c>
      <c r="E31" s="214">
        <f>(SUM('Enterprise Budget'!$F$17:'Enterprise Budget'!$F$21)+(($A31/100)*E$28))-('Enterprise Budget'!$F$61)</f>
        <v>626.43250000000035</v>
      </c>
      <c r="F31" s="214">
        <f>(SUM('Enterprise Budget'!$F$17:'Enterprise Budget'!$F$21)+(($A31/100)*F$28))-('Enterprise Budget'!$F$61)</f>
        <v>866.43250000000035</v>
      </c>
      <c r="H31" s="136">
        <f>A31</f>
        <v>24000</v>
      </c>
      <c r="I31" s="215">
        <f>B31/('Enterprise Budget'!$F$2/100)</f>
        <v>-0.3898645833333319</v>
      </c>
      <c r="J31" s="215">
        <f>C31/('Enterprise Budget'!$F$2/100)</f>
        <v>1.3601354166666682</v>
      </c>
      <c r="K31" s="224">
        <f>D31/('Enterprise Budget'!$F$2/100)</f>
        <v>1.6101354166666682</v>
      </c>
      <c r="L31" s="215">
        <f>E31/('Enterprise Budget'!$F$2/100)</f>
        <v>2.6101354166666679</v>
      </c>
      <c r="M31" s="215">
        <f>F31/('Enterprise Budget'!$F$2/100)</f>
        <v>3.6101354166666679</v>
      </c>
      <c r="O31" s="136">
        <f>H31</f>
        <v>24000</v>
      </c>
      <c r="P31" s="214">
        <f>B31*'Enterprise Budget'!$F$3</f>
        <v>-56140.499999999796</v>
      </c>
      <c r="Q31" s="214">
        <f>C31*'Enterprise Budget'!$F$3</f>
        <v>195859.5000000002</v>
      </c>
      <c r="R31" s="223">
        <f>D31*'Enterprise Budget'!$F$3</f>
        <v>231859.5000000002</v>
      </c>
      <c r="S31" s="214">
        <f>E31*'Enterprise Budget'!$F$3</f>
        <v>375859.50000000023</v>
      </c>
      <c r="T31" s="214">
        <f>F31*'Enterprise Budget'!$F$3</f>
        <v>519859.50000000023</v>
      </c>
    </row>
    <row r="32" spans="1:21">
      <c r="A32" s="219">
        <v>25500</v>
      </c>
      <c r="B32" s="214">
        <f>(SUM('Enterprise Budget'!$F$17:'Enterprise Budget'!$F$21)+(($A32/100)*B$28))-('Enterprise Budget'!$F$61)</f>
        <v>131.43250000000035</v>
      </c>
      <c r="C32" s="214">
        <f>(SUM('Enterprise Budget'!$F$17:'Enterprise Budget'!$F$21)+(($A32/100)*C$28))-('Enterprise Budget'!$F$61)</f>
        <v>577.68250000000035</v>
      </c>
      <c r="D32" s="214">
        <f>(SUM('Enterprise Budget'!$F$17:'Enterprise Budget'!$F$21)+(($A32/100)*D$28))-('Enterprise Budget'!$F$61)</f>
        <v>641.43250000000035</v>
      </c>
      <c r="E32" s="214">
        <f>(SUM('Enterprise Budget'!$F$17:'Enterprise Budget'!$F$21)+(($A32/100)*E$28))-('Enterprise Budget'!$F$61)</f>
        <v>896.43250000000035</v>
      </c>
      <c r="F32" s="214">
        <f>(SUM('Enterprise Budget'!$F$17:'Enterprise Budget'!$F$21)+(($A32/100)*F$28))-('Enterprise Budget'!$F$61)</f>
        <v>1151.4325000000003</v>
      </c>
      <c r="H32" s="136">
        <f>A32</f>
        <v>25500</v>
      </c>
      <c r="I32" s="215">
        <f>B32/('Enterprise Budget'!$F$2/100)</f>
        <v>0.54763541666666815</v>
      </c>
      <c r="J32" s="215">
        <f>C32/('Enterprise Budget'!$F$2/100)</f>
        <v>2.4070104166666679</v>
      </c>
      <c r="K32" s="215">
        <f>D32/('Enterprise Budget'!$F$2/100)</f>
        <v>2.6726354166666679</v>
      </c>
      <c r="L32" s="215">
        <f>E32/('Enterprise Budget'!$F$2/100)</f>
        <v>3.7351354166666679</v>
      </c>
      <c r="M32" s="215">
        <f>F32/('Enterprise Budget'!$F$2/100)</f>
        <v>4.7976354166666679</v>
      </c>
      <c r="O32" s="136">
        <f>H32</f>
        <v>25500</v>
      </c>
      <c r="P32" s="214">
        <f>B32*'Enterprise Budget'!$F$3</f>
        <v>78859.500000000204</v>
      </c>
      <c r="Q32" s="214">
        <f>C32*'Enterprise Budget'!$F$3</f>
        <v>346609.50000000023</v>
      </c>
      <c r="R32" s="214">
        <f>D32*'Enterprise Budget'!$F$3</f>
        <v>384859.50000000023</v>
      </c>
      <c r="S32" s="214">
        <f>E32*'Enterprise Budget'!$F$3</f>
        <v>537859.50000000023</v>
      </c>
      <c r="T32" s="214">
        <f>F32*'Enterprise Budget'!$F$3</f>
        <v>690859.50000000023</v>
      </c>
    </row>
    <row r="33" spans="1:20">
      <c r="A33" s="219">
        <v>27000</v>
      </c>
      <c r="B33" s="214">
        <f>(SUM('Enterprise Budget'!$F$17:'Enterprise Budget'!$F$21)+(($A33/100)*B$28))-('Enterprise Budget'!$F$61)</f>
        <v>356.43250000000035</v>
      </c>
      <c r="C33" s="214">
        <f>(SUM('Enterprise Budget'!$F$17:'Enterprise Budget'!$F$21)+(($A33/100)*C$28))-('Enterprise Budget'!$F$61)</f>
        <v>828.93250000000035</v>
      </c>
      <c r="D33" s="214">
        <f>(SUM('Enterprise Budget'!$F$17:'Enterprise Budget'!$F$21)+(($A33/100)*D$28))-('Enterprise Budget'!$F$61)</f>
        <v>896.43250000000035</v>
      </c>
      <c r="E33" s="214">
        <f>(SUM('Enterprise Budget'!$F$17:'Enterprise Budget'!$F$21)+(($A33/100)*E$28))-('Enterprise Budget'!$F$61)</f>
        <v>1166.4325000000003</v>
      </c>
      <c r="F33" s="214">
        <f>(SUM('Enterprise Budget'!$F$17:'Enterprise Budget'!$F$21)+(($A33/100)*F$28))-('Enterprise Budget'!$F$61)</f>
        <v>1436.4325000000003</v>
      </c>
      <c r="H33" s="136">
        <f>A33</f>
        <v>27000</v>
      </c>
      <c r="I33" s="215">
        <f>B33/('Enterprise Budget'!$F$2/100)</f>
        <v>1.4851354166666682</v>
      </c>
      <c r="J33" s="215">
        <f>C33/('Enterprise Budget'!$F$2/100)</f>
        <v>3.4538854166666679</v>
      </c>
      <c r="K33" s="215">
        <f>D33/('Enterprise Budget'!$F$2/100)</f>
        <v>3.7351354166666679</v>
      </c>
      <c r="L33" s="215">
        <f>E33/('Enterprise Budget'!$F$2/100)</f>
        <v>4.8601354166666679</v>
      </c>
      <c r="M33" s="215">
        <f>F33/('Enterprise Budget'!$F$2/100)</f>
        <v>5.9851354166666679</v>
      </c>
      <c r="O33" s="136">
        <f>H33</f>
        <v>27000</v>
      </c>
      <c r="P33" s="214">
        <f>B33*'Enterprise Budget'!$F$3</f>
        <v>213859.5000000002</v>
      </c>
      <c r="Q33" s="214">
        <f>C33*'Enterprise Budget'!$F$3</f>
        <v>497359.50000000023</v>
      </c>
      <c r="R33" s="214">
        <f>D33*'Enterprise Budget'!$F$3</f>
        <v>537859.50000000023</v>
      </c>
      <c r="S33" s="214">
        <f>E33*'Enterprise Budget'!$F$3</f>
        <v>699859.50000000023</v>
      </c>
      <c r="T33" s="214">
        <f>F33*'Enterprise Budget'!$F$3</f>
        <v>861859.50000000023</v>
      </c>
    </row>
    <row r="34" spans="1:20">
      <c r="A34" t="s">
        <v>184</v>
      </c>
    </row>
    <row r="36" spans="1:20" ht="15.75" customHeight="1">
      <c r="A36" s="408" t="s">
        <v>186</v>
      </c>
      <c r="B36" s="408"/>
      <c r="C36" s="408"/>
      <c r="D36" s="408"/>
      <c r="E36" s="408"/>
      <c r="F36" s="408"/>
      <c r="H36" s="408" t="s">
        <v>185</v>
      </c>
      <c r="I36" s="408"/>
      <c r="J36" s="408"/>
      <c r="K36" s="408"/>
      <c r="L36" s="408"/>
      <c r="M36" s="408"/>
      <c r="O36" s="408" t="s">
        <v>187</v>
      </c>
      <c r="P36" s="408"/>
      <c r="Q36" s="408"/>
      <c r="R36" s="408"/>
      <c r="S36" s="408"/>
      <c r="T36" s="408"/>
    </row>
    <row r="37" spans="1:20">
      <c r="A37" s="414" t="s">
        <v>189</v>
      </c>
      <c r="B37" s="409" t="s">
        <v>13</v>
      </c>
      <c r="C37" s="410"/>
      <c r="D37" s="410"/>
      <c r="E37" s="410"/>
      <c r="F37" s="411"/>
      <c r="H37" s="414" t="s">
        <v>189</v>
      </c>
      <c r="I37" s="409" t="s">
        <v>13</v>
      </c>
      <c r="J37" s="410"/>
      <c r="K37" s="410"/>
      <c r="L37" s="410"/>
      <c r="M37" s="411"/>
      <c r="O37" s="414" t="s">
        <v>189</v>
      </c>
      <c r="P37" s="409" t="s">
        <v>13</v>
      </c>
      <c r="Q37" s="410"/>
      <c r="R37" s="410"/>
      <c r="S37" s="410"/>
      <c r="T37" s="411"/>
    </row>
    <row r="38" spans="1:20">
      <c r="A38" s="415"/>
      <c r="B38" s="220">
        <f>B28</f>
        <v>15</v>
      </c>
      <c r="C38" s="220">
        <f t="shared" ref="C38:F38" si="12">C28</f>
        <v>16.75</v>
      </c>
      <c r="D38" s="220">
        <f t="shared" si="12"/>
        <v>17</v>
      </c>
      <c r="E38" s="220">
        <f t="shared" si="12"/>
        <v>18</v>
      </c>
      <c r="F38" s="220">
        <f t="shared" si="12"/>
        <v>19</v>
      </c>
      <c r="H38" s="415"/>
      <c r="I38" s="220">
        <f>I28</f>
        <v>15</v>
      </c>
      <c r="J38" s="220">
        <f t="shared" ref="J38:M38" si="13">J28</f>
        <v>16.75</v>
      </c>
      <c r="K38" s="220">
        <f t="shared" si="13"/>
        <v>17</v>
      </c>
      <c r="L38" s="220">
        <f t="shared" si="13"/>
        <v>18</v>
      </c>
      <c r="M38" s="220">
        <f t="shared" si="13"/>
        <v>19</v>
      </c>
      <c r="O38" s="415"/>
      <c r="P38" s="220">
        <f>P28</f>
        <v>15</v>
      </c>
      <c r="Q38" s="220">
        <f t="shared" ref="Q38:T38" si="14">Q28</f>
        <v>16.75</v>
      </c>
      <c r="R38" s="220">
        <f t="shared" si="14"/>
        <v>17</v>
      </c>
      <c r="S38" s="220">
        <f t="shared" si="14"/>
        <v>18</v>
      </c>
      <c r="T38" s="220">
        <f t="shared" si="14"/>
        <v>19</v>
      </c>
    </row>
    <row r="39" spans="1:20">
      <c r="A39" s="136">
        <f>A29</f>
        <v>21000</v>
      </c>
      <c r="B39" s="214">
        <f>B29-$D$31</f>
        <v>-930</v>
      </c>
      <c r="C39" s="214">
        <f t="shared" ref="C39:F39" si="15">C29-$D$31</f>
        <v>-562.5</v>
      </c>
      <c r="D39" s="214">
        <f t="shared" si="15"/>
        <v>-510</v>
      </c>
      <c r="E39" s="214">
        <f t="shared" si="15"/>
        <v>-300</v>
      </c>
      <c r="F39" s="214">
        <f t="shared" si="15"/>
        <v>-90</v>
      </c>
      <c r="H39" s="136">
        <f>H29</f>
        <v>21000</v>
      </c>
      <c r="I39" s="215">
        <f>I29-$K$31</f>
        <v>-3.875</v>
      </c>
      <c r="J39" s="215">
        <f t="shared" ref="J39:M39" si="16">J29-$K$31</f>
        <v>-2.34375</v>
      </c>
      <c r="K39" s="215">
        <f t="shared" si="16"/>
        <v>-2.125</v>
      </c>
      <c r="L39" s="215">
        <f t="shared" si="16"/>
        <v>-1.25</v>
      </c>
      <c r="M39" s="215">
        <f t="shared" si="16"/>
        <v>-0.375</v>
      </c>
      <c r="O39" s="136">
        <f>O29</f>
        <v>21000</v>
      </c>
      <c r="P39" s="214">
        <f>P29-$R$31</f>
        <v>-558000</v>
      </c>
      <c r="Q39" s="214">
        <f t="shared" ref="Q39:T39" si="17">Q29-$R$31</f>
        <v>-337500</v>
      </c>
      <c r="R39" s="214">
        <f t="shared" si="17"/>
        <v>-306000</v>
      </c>
      <c r="S39" s="214">
        <f t="shared" si="17"/>
        <v>-180000</v>
      </c>
      <c r="T39" s="214">
        <f t="shared" si="17"/>
        <v>-54000</v>
      </c>
    </row>
    <row r="40" spans="1:20">
      <c r="A40" s="136">
        <f t="shared" ref="A40:A43" si="18">A30</f>
        <v>23000</v>
      </c>
      <c r="B40" s="214">
        <f t="shared" ref="B40:F40" si="19">B30-$D$31</f>
        <v>-630</v>
      </c>
      <c r="C40" s="214">
        <f t="shared" si="19"/>
        <v>-227.5</v>
      </c>
      <c r="D40" s="214">
        <f t="shared" si="19"/>
        <v>-170</v>
      </c>
      <c r="E40" s="214">
        <f t="shared" si="19"/>
        <v>60</v>
      </c>
      <c r="F40" s="214">
        <f t="shared" si="19"/>
        <v>290</v>
      </c>
      <c r="H40" s="136">
        <f t="shared" ref="H40:H43" si="20">H30</f>
        <v>23000</v>
      </c>
      <c r="I40" s="215">
        <f t="shared" ref="I40:M43" si="21">I30-$K$31</f>
        <v>-2.625</v>
      </c>
      <c r="J40" s="215">
        <f t="shared" si="21"/>
        <v>-0.94791666666666674</v>
      </c>
      <c r="K40" s="215">
        <f t="shared" si="21"/>
        <v>-0.70833333333333337</v>
      </c>
      <c r="L40" s="215">
        <f t="shared" si="21"/>
        <v>0.25</v>
      </c>
      <c r="M40" s="215">
        <f t="shared" si="21"/>
        <v>1.2083333333333333</v>
      </c>
      <c r="O40" s="136">
        <f t="shared" ref="O40:O43" si="22">O30</f>
        <v>23000</v>
      </c>
      <c r="P40" s="214">
        <f t="shared" ref="P40:T43" si="23">P30-$R$31</f>
        <v>-378000</v>
      </c>
      <c r="Q40" s="214">
        <f t="shared" si="23"/>
        <v>-136500</v>
      </c>
      <c r="R40" s="214">
        <f t="shared" si="23"/>
        <v>-102000</v>
      </c>
      <c r="S40" s="214">
        <f t="shared" si="23"/>
        <v>36000.000000000029</v>
      </c>
      <c r="T40" s="214">
        <f t="shared" si="23"/>
        <v>174000.00000000003</v>
      </c>
    </row>
    <row r="41" spans="1:20">
      <c r="A41" s="136">
        <f t="shared" si="18"/>
        <v>24000</v>
      </c>
      <c r="B41" s="214">
        <f t="shared" ref="B41:F41" si="24">B31-$D$31</f>
        <v>-480</v>
      </c>
      <c r="C41" s="214">
        <f t="shared" si="24"/>
        <v>-60</v>
      </c>
      <c r="D41" s="223">
        <f t="shared" si="24"/>
        <v>0</v>
      </c>
      <c r="E41" s="214">
        <f t="shared" si="24"/>
        <v>240</v>
      </c>
      <c r="F41" s="214">
        <f t="shared" si="24"/>
        <v>480</v>
      </c>
      <c r="H41" s="136">
        <f t="shared" si="20"/>
        <v>24000</v>
      </c>
      <c r="I41" s="215">
        <f t="shared" si="21"/>
        <v>-2</v>
      </c>
      <c r="J41" s="215">
        <f t="shared" si="21"/>
        <v>-0.25</v>
      </c>
      <c r="K41" s="224">
        <f t="shared" si="21"/>
        <v>0</v>
      </c>
      <c r="L41" s="215">
        <f t="shared" si="21"/>
        <v>0.99999999999999978</v>
      </c>
      <c r="M41" s="215">
        <f t="shared" si="21"/>
        <v>1.9999999999999998</v>
      </c>
      <c r="O41" s="136">
        <f t="shared" si="22"/>
        <v>24000</v>
      </c>
      <c r="P41" s="214">
        <f t="shared" si="23"/>
        <v>-288000</v>
      </c>
      <c r="Q41" s="214">
        <f t="shared" si="23"/>
        <v>-36000</v>
      </c>
      <c r="R41" s="223">
        <f t="shared" si="23"/>
        <v>0</v>
      </c>
      <c r="S41" s="214">
        <f t="shared" si="23"/>
        <v>144000.00000000003</v>
      </c>
      <c r="T41" s="214">
        <f t="shared" si="23"/>
        <v>288000</v>
      </c>
    </row>
    <row r="42" spans="1:20">
      <c r="A42" s="136">
        <f t="shared" si="18"/>
        <v>25500</v>
      </c>
      <c r="B42" s="214">
        <f t="shared" ref="B42:F42" si="25">B32-$D$31</f>
        <v>-255</v>
      </c>
      <c r="C42" s="214">
        <f t="shared" si="25"/>
        <v>191.25</v>
      </c>
      <c r="D42" s="214">
        <f t="shared" si="25"/>
        <v>255</v>
      </c>
      <c r="E42" s="214">
        <f t="shared" si="25"/>
        <v>510</v>
      </c>
      <c r="F42" s="214">
        <f t="shared" si="25"/>
        <v>765</v>
      </c>
      <c r="H42" s="136">
        <f t="shared" si="20"/>
        <v>25500</v>
      </c>
      <c r="I42" s="215">
        <f t="shared" si="21"/>
        <v>-1.0625</v>
      </c>
      <c r="J42" s="215">
        <f t="shared" si="21"/>
        <v>0.79687499999999978</v>
      </c>
      <c r="K42" s="215">
        <f t="shared" si="21"/>
        <v>1.0624999999999998</v>
      </c>
      <c r="L42" s="215">
        <f t="shared" si="21"/>
        <v>2.125</v>
      </c>
      <c r="M42" s="215">
        <f t="shared" si="21"/>
        <v>3.1875</v>
      </c>
      <c r="O42" s="136">
        <f t="shared" si="22"/>
        <v>25500</v>
      </c>
      <c r="P42" s="214">
        <f t="shared" si="23"/>
        <v>-153000</v>
      </c>
      <c r="Q42" s="214">
        <f t="shared" si="23"/>
        <v>114750.00000000003</v>
      </c>
      <c r="R42" s="214">
        <f t="shared" si="23"/>
        <v>153000.00000000003</v>
      </c>
      <c r="S42" s="214">
        <f t="shared" si="23"/>
        <v>306000</v>
      </c>
      <c r="T42" s="214">
        <f t="shared" si="23"/>
        <v>459000</v>
      </c>
    </row>
    <row r="43" spans="1:20">
      <c r="A43" s="136">
        <f t="shared" si="18"/>
        <v>27000</v>
      </c>
      <c r="B43" s="214">
        <f t="shared" ref="B43:F43" si="26">B33-$D$31</f>
        <v>-30</v>
      </c>
      <c r="C43" s="214">
        <f t="shared" si="26"/>
        <v>442.5</v>
      </c>
      <c r="D43" s="214">
        <f t="shared" si="26"/>
        <v>510</v>
      </c>
      <c r="E43" s="214">
        <f t="shared" si="26"/>
        <v>780</v>
      </c>
      <c r="F43" s="214">
        <f t="shared" si="26"/>
        <v>1050</v>
      </c>
      <c r="H43" s="136">
        <f t="shared" si="20"/>
        <v>27000</v>
      </c>
      <c r="I43" s="215">
        <f t="shared" si="21"/>
        <v>-0.125</v>
      </c>
      <c r="J43" s="215">
        <f t="shared" si="21"/>
        <v>1.8437499999999998</v>
      </c>
      <c r="K43" s="215">
        <f t="shared" si="21"/>
        <v>2.125</v>
      </c>
      <c r="L43" s="215">
        <f t="shared" si="21"/>
        <v>3.25</v>
      </c>
      <c r="M43" s="215">
        <f t="shared" si="21"/>
        <v>4.375</v>
      </c>
      <c r="O43" s="136">
        <f t="shared" si="22"/>
        <v>27000</v>
      </c>
      <c r="P43" s="214">
        <f t="shared" si="23"/>
        <v>-18000</v>
      </c>
      <c r="Q43" s="214">
        <f t="shared" si="23"/>
        <v>265500</v>
      </c>
      <c r="R43" s="214">
        <f t="shared" si="23"/>
        <v>306000</v>
      </c>
      <c r="S43" s="214">
        <f t="shared" si="23"/>
        <v>468000</v>
      </c>
      <c r="T43" s="214">
        <f t="shared" si="23"/>
        <v>630000</v>
      </c>
    </row>
  </sheetData>
  <mergeCells count="37">
    <mergeCell ref="H12:M12"/>
    <mergeCell ref="A12:F12"/>
    <mergeCell ref="O12:T12"/>
    <mergeCell ref="A3:F3"/>
    <mergeCell ref="H3:M3"/>
    <mergeCell ref="O3:T3"/>
    <mergeCell ref="B13:F13"/>
    <mergeCell ref="A13:A14"/>
    <mergeCell ref="H13:H14"/>
    <mergeCell ref="O13:O14"/>
    <mergeCell ref="A26:F26"/>
    <mergeCell ref="H26:M26"/>
    <mergeCell ref="O26:T26"/>
    <mergeCell ref="A1:T1"/>
    <mergeCell ref="P4:T4"/>
    <mergeCell ref="I4:M4"/>
    <mergeCell ref="B4:F4"/>
    <mergeCell ref="A37:A38"/>
    <mergeCell ref="H27:H28"/>
    <mergeCell ref="H37:H38"/>
    <mergeCell ref="O27:O28"/>
    <mergeCell ref="O37:O38"/>
    <mergeCell ref="A4:A5"/>
    <mergeCell ref="H4:H5"/>
    <mergeCell ref="O4:O5"/>
    <mergeCell ref="A36:F36"/>
    <mergeCell ref="A27:A28"/>
    <mergeCell ref="P13:T13"/>
    <mergeCell ref="I13:M13"/>
    <mergeCell ref="H36:M36"/>
    <mergeCell ref="O36:T36"/>
    <mergeCell ref="B27:F27"/>
    <mergeCell ref="P37:T37"/>
    <mergeCell ref="I37:M37"/>
    <mergeCell ref="B37:F37"/>
    <mergeCell ref="I27:M27"/>
    <mergeCell ref="P27:T2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3"/>
  <sheetViews>
    <sheetView workbookViewId="0">
      <selection activeCell="C21" sqref="C21"/>
    </sheetView>
  </sheetViews>
  <sheetFormatPr defaultRowHeight="14.5"/>
  <cols>
    <col min="1" max="1" width="2.81640625" customWidth="1"/>
    <col min="2" max="2" width="2.453125" customWidth="1"/>
    <col min="3" max="3" width="40.26953125" customWidth="1"/>
    <col min="4" max="4" width="8" customWidth="1"/>
    <col min="5" max="6" width="10.54296875" customWidth="1"/>
    <col min="7" max="7" width="11.54296875" customWidth="1"/>
    <col min="8" max="8" width="4.1796875" customWidth="1"/>
    <col min="9" max="9" width="18.7265625" customWidth="1"/>
    <col min="10" max="10" width="12.7265625" customWidth="1"/>
    <col min="11" max="11" width="11.453125" customWidth="1"/>
  </cols>
  <sheetData>
    <row r="1" spans="1:11" ht="62.25" customHeight="1">
      <c r="B1" s="417" t="s">
        <v>219</v>
      </c>
      <c r="C1" s="418"/>
      <c r="D1" s="418"/>
      <c r="E1" s="418"/>
      <c r="F1" s="418"/>
      <c r="G1" s="418"/>
      <c r="H1" s="327"/>
      <c r="I1" s="419" t="s">
        <v>222</v>
      </c>
      <c r="J1" s="420"/>
      <c r="K1" s="420"/>
    </row>
    <row r="2" spans="1:11" ht="46.5" customHeight="1" thickBot="1">
      <c r="A2" s="62">
        <v>1</v>
      </c>
      <c r="B2" s="245"/>
      <c r="C2" s="246"/>
      <c r="D2" s="246"/>
      <c r="E2" s="350" t="s">
        <v>223</v>
      </c>
      <c r="F2" s="291" t="s">
        <v>218</v>
      </c>
      <c r="G2" s="292" t="s">
        <v>217</v>
      </c>
      <c r="H2" s="248"/>
      <c r="I2" s="341" t="s">
        <v>220</v>
      </c>
      <c r="J2" s="348">
        <v>0.01</v>
      </c>
      <c r="K2" s="292" t="s">
        <v>217</v>
      </c>
    </row>
    <row r="3" spans="1:11" ht="18.5">
      <c r="A3" s="62">
        <v>2</v>
      </c>
      <c r="B3" s="27"/>
      <c r="C3" s="225" t="s">
        <v>42</v>
      </c>
      <c r="D3" s="226"/>
      <c r="E3" s="259">
        <f>'Enterprise Budget'!F2</f>
        <v>24000</v>
      </c>
      <c r="F3" s="227"/>
      <c r="G3" s="252">
        <f>F3-E3</f>
        <v>-24000</v>
      </c>
      <c r="H3" s="328"/>
      <c r="I3" s="249"/>
      <c r="J3" s="259">
        <f>'Enterprise Budget'!F2</f>
        <v>24000</v>
      </c>
      <c r="K3" s="66">
        <f t="shared" ref="K3:K44" si="0">J3-E3</f>
        <v>0</v>
      </c>
    </row>
    <row r="4" spans="1:11" ht="16.5">
      <c r="A4" s="62">
        <v>3</v>
      </c>
      <c r="B4" s="76"/>
      <c r="C4" s="77" t="s">
        <v>197</v>
      </c>
      <c r="D4" s="78"/>
      <c r="E4" s="260">
        <f>'Enterprise Budget'!F3</f>
        <v>600</v>
      </c>
      <c r="F4" s="51"/>
      <c r="G4" s="171">
        <f t="shared" ref="G4:G65" si="1">F4-E4</f>
        <v>-600</v>
      </c>
      <c r="H4" s="329"/>
      <c r="I4" s="284"/>
      <c r="J4" s="260">
        <f>'Enterprise Budget'!F3</f>
        <v>600</v>
      </c>
      <c r="K4" s="10">
        <f t="shared" si="0"/>
        <v>0</v>
      </c>
    </row>
    <row r="5" spans="1:11">
      <c r="A5" s="62">
        <v>4</v>
      </c>
      <c r="B5" s="28"/>
      <c r="C5" s="13" t="s">
        <v>13</v>
      </c>
      <c r="D5" s="3"/>
      <c r="E5" s="261">
        <f>'Enterprise Budget'!F4</f>
        <v>17</v>
      </c>
      <c r="F5" s="49"/>
      <c r="G5" s="255">
        <f t="shared" si="1"/>
        <v>-17</v>
      </c>
      <c r="H5" s="330"/>
      <c r="I5" s="255" t="s">
        <v>221</v>
      </c>
      <c r="J5" s="310">
        <v>17</v>
      </c>
      <c r="K5" s="11">
        <f t="shared" si="0"/>
        <v>0</v>
      </c>
    </row>
    <row r="6" spans="1:11">
      <c r="A6" s="62">
        <v>5</v>
      </c>
      <c r="B6" s="28"/>
      <c r="C6" s="13" t="s">
        <v>19</v>
      </c>
      <c r="D6" s="3"/>
      <c r="E6" s="262">
        <f>'Enterprise Budget'!F5</f>
        <v>100</v>
      </c>
      <c r="F6" s="51"/>
      <c r="G6" s="171">
        <f t="shared" si="1"/>
        <v>-100</v>
      </c>
      <c r="H6" s="329"/>
      <c r="I6" s="284"/>
      <c r="J6" s="262">
        <f>'Enterprise Budget'!F5</f>
        <v>100</v>
      </c>
      <c r="K6" s="10">
        <f t="shared" si="0"/>
        <v>0</v>
      </c>
    </row>
    <row r="7" spans="1:11">
      <c r="A7" s="62">
        <v>6</v>
      </c>
      <c r="B7" s="28"/>
      <c r="C7" s="13" t="s">
        <v>20</v>
      </c>
      <c r="D7" s="3"/>
      <c r="E7" s="262">
        <f>'Enterprise Budget'!F6</f>
        <v>225</v>
      </c>
      <c r="F7" s="51"/>
      <c r="G7" s="171">
        <f t="shared" si="1"/>
        <v>-225</v>
      </c>
      <c r="H7" s="329"/>
      <c r="I7" s="284"/>
      <c r="J7" s="262">
        <f>'Enterprise Budget'!F6</f>
        <v>225</v>
      </c>
      <c r="K7" s="10">
        <f t="shared" si="0"/>
        <v>0</v>
      </c>
    </row>
    <row r="8" spans="1:11">
      <c r="A8" s="62">
        <v>7</v>
      </c>
      <c r="B8" s="28"/>
      <c r="C8" s="13" t="s">
        <v>32</v>
      </c>
      <c r="D8" s="3"/>
      <c r="E8" s="262">
        <f>'Enterprise Budget'!F7</f>
        <v>13</v>
      </c>
      <c r="F8" s="51"/>
      <c r="G8" s="171">
        <f t="shared" si="1"/>
        <v>-13</v>
      </c>
      <c r="H8" s="329"/>
      <c r="I8" s="284"/>
      <c r="J8" s="262">
        <f>'Enterprise Budget'!F7</f>
        <v>13</v>
      </c>
      <c r="K8" s="10">
        <f t="shared" si="0"/>
        <v>0</v>
      </c>
    </row>
    <row r="9" spans="1:11">
      <c r="A9" s="62">
        <v>8</v>
      </c>
      <c r="B9" s="28"/>
      <c r="C9" s="13" t="s">
        <v>33</v>
      </c>
      <c r="D9" s="3"/>
      <c r="E9" s="263">
        <f>'Enterprise Budget'!F8</f>
        <v>0.02</v>
      </c>
      <c r="F9" s="56"/>
      <c r="G9" s="211">
        <f t="shared" si="1"/>
        <v>-0.02</v>
      </c>
      <c r="H9" s="331"/>
      <c r="I9" s="250"/>
      <c r="J9" s="263">
        <f>'Enterprise Budget'!F8</f>
        <v>0.02</v>
      </c>
      <c r="K9" s="325">
        <f t="shared" si="0"/>
        <v>0</v>
      </c>
    </row>
    <row r="10" spans="1:11">
      <c r="A10" s="62">
        <v>9</v>
      </c>
      <c r="B10" s="28"/>
      <c r="C10" s="13" t="s">
        <v>37</v>
      </c>
      <c r="D10" s="3"/>
      <c r="E10" s="262">
        <f>'Enterprise Budget'!F9</f>
        <v>50</v>
      </c>
      <c r="F10" s="51"/>
      <c r="G10" s="171">
        <f t="shared" si="1"/>
        <v>-50</v>
      </c>
      <c r="H10" s="329"/>
      <c r="I10" s="284"/>
      <c r="J10" s="262">
        <f>'Enterprise Budget'!F9</f>
        <v>50</v>
      </c>
      <c r="K10" s="10">
        <f t="shared" si="0"/>
        <v>0</v>
      </c>
    </row>
    <row r="11" spans="1:11">
      <c r="A11" s="62">
        <v>10</v>
      </c>
      <c r="B11" s="28"/>
      <c r="C11" s="13" t="s">
        <v>35</v>
      </c>
      <c r="D11" s="3"/>
      <c r="E11" s="264">
        <f>'Enterprise Budget'!F10</f>
        <v>0.33</v>
      </c>
      <c r="F11" s="52"/>
      <c r="G11" s="210">
        <f t="shared" si="1"/>
        <v>-0.33</v>
      </c>
      <c r="H11" s="332"/>
      <c r="I11" s="286"/>
      <c r="J11" s="311">
        <f>'Enterprise Budget'!F10</f>
        <v>0.33</v>
      </c>
      <c r="K11" s="326">
        <f t="shared" si="0"/>
        <v>0</v>
      </c>
    </row>
    <row r="12" spans="1:11">
      <c r="A12" s="62">
        <v>11</v>
      </c>
      <c r="B12" s="28"/>
      <c r="C12" s="13" t="s">
        <v>192</v>
      </c>
      <c r="D12" s="3"/>
      <c r="E12" s="265">
        <f>'Enterprise Budget'!F11</f>
        <v>1250</v>
      </c>
      <c r="F12" s="74"/>
      <c r="G12" s="172">
        <f t="shared" si="1"/>
        <v>-1250</v>
      </c>
      <c r="H12" s="333"/>
      <c r="I12" s="251"/>
      <c r="J12" s="265">
        <f>'Enterprise Budget'!F11</f>
        <v>1250</v>
      </c>
      <c r="K12" s="10">
        <f t="shared" si="0"/>
        <v>0</v>
      </c>
    </row>
    <row r="13" spans="1:11">
      <c r="A13" s="62">
        <v>12</v>
      </c>
      <c r="B13" s="28"/>
      <c r="C13" s="13" t="s">
        <v>21</v>
      </c>
      <c r="D13" s="3"/>
      <c r="E13" s="262">
        <f>'Enterprise Budget'!F12</f>
        <v>15</v>
      </c>
      <c r="F13" s="51"/>
      <c r="G13" s="171">
        <f t="shared" si="1"/>
        <v>-15</v>
      </c>
      <c r="H13" s="329"/>
      <c r="I13" s="284"/>
      <c r="J13" s="262">
        <f>'Enterprise Budget'!F12</f>
        <v>15</v>
      </c>
      <c r="K13" s="10">
        <f t="shared" si="0"/>
        <v>0</v>
      </c>
    </row>
    <row r="14" spans="1:11" ht="15" thickBot="1">
      <c r="A14" s="62">
        <v>13</v>
      </c>
      <c r="B14" s="31"/>
      <c r="C14" s="141" t="s">
        <v>22</v>
      </c>
      <c r="D14" s="142"/>
      <c r="E14" s="266">
        <f>'Enterprise Budget'!F13</f>
        <v>46</v>
      </c>
      <c r="F14" s="143"/>
      <c r="G14" s="173">
        <f t="shared" si="1"/>
        <v>-46</v>
      </c>
      <c r="H14" s="329"/>
      <c r="I14" s="284"/>
      <c r="J14" s="266">
        <f>'Enterprise Budget'!F13</f>
        <v>46</v>
      </c>
      <c r="K14" s="254">
        <f t="shared" si="0"/>
        <v>0</v>
      </c>
    </row>
    <row r="15" spans="1:11">
      <c r="A15" s="62">
        <v>14</v>
      </c>
      <c r="B15" s="76"/>
      <c r="C15" s="77"/>
      <c r="D15" s="78"/>
      <c r="E15" s="267"/>
      <c r="F15" s="293"/>
      <c r="G15" s="294"/>
      <c r="H15" s="329"/>
      <c r="I15" s="284"/>
      <c r="J15" s="354"/>
      <c r="K15" s="66">
        <f t="shared" si="0"/>
        <v>0</v>
      </c>
    </row>
    <row r="16" spans="1:11">
      <c r="A16" s="62">
        <v>15</v>
      </c>
      <c r="B16" s="29" t="s">
        <v>0</v>
      </c>
      <c r="C16" s="14"/>
      <c r="D16" s="2"/>
      <c r="E16" s="268" t="str">
        <f>'Enterprise Budget'!F15</f>
        <v>Per Cow</v>
      </c>
      <c r="F16" s="82"/>
      <c r="G16" s="253"/>
      <c r="H16" s="344"/>
      <c r="I16" s="345"/>
      <c r="J16" s="312" t="s">
        <v>14</v>
      </c>
      <c r="K16" s="10" t="e">
        <f t="shared" si="0"/>
        <v>#VALUE!</v>
      </c>
    </row>
    <row r="17" spans="1:11">
      <c r="A17" s="62">
        <v>16</v>
      </c>
      <c r="B17" s="28"/>
      <c r="C17" s="14" t="s">
        <v>1</v>
      </c>
      <c r="D17" s="5"/>
      <c r="E17" s="269">
        <f>'Enterprise Budget'!F16</f>
        <v>4080</v>
      </c>
      <c r="F17" s="4">
        <f>(F3/100)*F5</f>
        <v>0</v>
      </c>
      <c r="G17" s="4">
        <f t="shared" si="1"/>
        <v>-4080</v>
      </c>
      <c r="H17" s="335"/>
      <c r="I17" s="247"/>
      <c r="J17" s="269">
        <f>(J3/100)*J5</f>
        <v>4080</v>
      </c>
      <c r="K17" s="10">
        <f t="shared" si="0"/>
        <v>0</v>
      </c>
    </row>
    <row r="18" spans="1:11" ht="16.5">
      <c r="A18" s="62">
        <v>17</v>
      </c>
      <c r="B18" s="28"/>
      <c r="C18" s="14" t="s">
        <v>199</v>
      </c>
      <c r="D18" s="6"/>
      <c r="E18" s="269">
        <f>'Enterprise Budget'!F17</f>
        <v>45.230769230769226</v>
      </c>
      <c r="F18" s="4" t="e">
        <f>((12/F8)*((1-F9)*0.5)*F6)</f>
        <v>#DIV/0!</v>
      </c>
      <c r="G18" s="4" t="e">
        <f t="shared" si="1"/>
        <v>#DIV/0!</v>
      </c>
      <c r="H18" s="335"/>
      <c r="I18" s="247"/>
      <c r="J18" s="269">
        <f>((12/J8)*((1-J9)*0.5)*J6)</f>
        <v>45.230769230769226</v>
      </c>
      <c r="K18" s="10">
        <f t="shared" si="0"/>
        <v>0</v>
      </c>
    </row>
    <row r="19" spans="1:11" ht="16.5">
      <c r="A19" s="62">
        <v>18</v>
      </c>
      <c r="B19" s="28"/>
      <c r="C19" s="14" t="s">
        <v>200</v>
      </c>
      <c r="D19" s="6"/>
      <c r="E19" s="269">
        <f>'Enterprise Budget'!F18</f>
        <v>101.76923076923077</v>
      </c>
      <c r="F19" s="4" t="e">
        <f>((12/F8)*((1-F9)*0.5)*F7)</f>
        <v>#DIV/0!</v>
      </c>
      <c r="G19" s="4" t="e">
        <f t="shared" si="1"/>
        <v>#DIV/0!</v>
      </c>
      <c r="H19" s="335"/>
      <c r="I19" s="247"/>
      <c r="J19" s="269">
        <f>((12/J8)*((1-J9)*0.5)*J7)</f>
        <v>101.76923076923077</v>
      </c>
      <c r="K19" s="10">
        <f t="shared" si="0"/>
        <v>0</v>
      </c>
    </row>
    <row r="20" spans="1:11">
      <c r="A20" s="62">
        <v>19</v>
      </c>
      <c r="B20" s="28"/>
      <c r="C20" s="14" t="s">
        <v>26</v>
      </c>
      <c r="D20" s="71">
        <v>1400</v>
      </c>
      <c r="E20" s="270">
        <f>'Enterprise Budget'!F19</f>
        <v>231</v>
      </c>
      <c r="F20" s="10">
        <f>F11*($D$20/100)*F10</f>
        <v>0</v>
      </c>
      <c r="G20" s="10">
        <f t="shared" si="1"/>
        <v>-231</v>
      </c>
      <c r="H20" s="236"/>
      <c r="I20" s="203"/>
      <c r="J20" s="313">
        <f>J11*($D$20/100)*J10</f>
        <v>231</v>
      </c>
      <c r="K20" s="10">
        <f t="shared" si="0"/>
        <v>0</v>
      </c>
    </row>
    <row r="21" spans="1:11">
      <c r="A21" s="62">
        <v>20</v>
      </c>
      <c r="B21" s="28"/>
      <c r="C21" s="14" t="s">
        <v>12</v>
      </c>
      <c r="D21" s="176"/>
      <c r="E21" s="270">
        <f>'Enterprise Budget'!F20</f>
        <v>0</v>
      </c>
      <c r="F21" s="10"/>
      <c r="G21" s="10">
        <f t="shared" si="1"/>
        <v>0</v>
      </c>
      <c r="H21" s="236"/>
      <c r="I21" s="203"/>
      <c r="J21" s="313"/>
      <c r="K21" s="10">
        <f t="shared" si="0"/>
        <v>0</v>
      </c>
    </row>
    <row r="22" spans="1:11">
      <c r="A22" s="62">
        <v>21</v>
      </c>
      <c r="B22" s="28"/>
      <c r="C22" s="14" t="s">
        <v>12</v>
      </c>
      <c r="D22" s="190"/>
      <c r="E22" s="270">
        <f>'Enterprise Budget'!F21</f>
        <v>0</v>
      </c>
      <c r="F22" s="10"/>
      <c r="G22" s="10">
        <f t="shared" si="1"/>
        <v>0</v>
      </c>
      <c r="H22" s="236"/>
      <c r="I22" s="203"/>
      <c r="J22" s="313"/>
      <c r="K22" s="10">
        <f t="shared" si="0"/>
        <v>0</v>
      </c>
    </row>
    <row r="23" spans="1:11" s="1" customFormat="1" ht="15" thickBot="1">
      <c r="A23" s="62">
        <v>22</v>
      </c>
      <c r="B23" s="149"/>
      <c r="C23" s="150" t="s">
        <v>2</v>
      </c>
      <c r="D23" s="151"/>
      <c r="E23" s="271">
        <f>'Enterprise Budget'!F22</f>
        <v>4458</v>
      </c>
      <c r="F23" s="152" t="e">
        <f t="shared" ref="F23" si="2">SUM(F17:F22)</f>
        <v>#DIV/0!</v>
      </c>
      <c r="G23" s="152" t="e">
        <f t="shared" si="1"/>
        <v>#DIV/0!</v>
      </c>
      <c r="H23" s="338"/>
      <c r="I23" s="342"/>
      <c r="J23" s="314">
        <f t="shared" ref="J23" si="3">SUM(J17:J22)</f>
        <v>4458</v>
      </c>
      <c r="K23" s="254">
        <f t="shared" si="0"/>
        <v>0</v>
      </c>
    </row>
    <row r="24" spans="1:11">
      <c r="A24" s="62">
        <v>23</v>
      </c>
      <c r="B24" s="145" t="s">
        <v>3</v>
      </c>
      <c r="C24" s="146"/>
      <c r="D24" s="147"/>
      <c r="E24" s="272"/>
      <c r="F24" s="65"/>
      <c r="G24" s="66">
        <f t="shared" si="1"/>
        <v>0</v>
      </c>
      <c r="H24" s="236"/>
      <c r="I24" s="203"/>
      <c r="J24" s="351"/>
      <c r="K24" s="66">
        <f t="shared" si="0"/>
        <v>0</v>
      </c>
    </row>
    <row r="25" spans="1:11">
      <c r="A25" s="62">
        <v>24</v>
      </c>
      <c r="B25" s="29"/>
      <c r="C25" s="256"/>
      <c r="D25" s="257"/>
      <c r="E25" s="273"/>
      <c r="F25" s="283"/>
      <c r="G25" s="179">
        <f t="shared" si="1"/>
        <v>0</v>
      </c>
      <c r="H25" s="334"/>
      <c r="I25" s="285"/>
      <c r="J25" s="315"/>
      <c r="K25" s="10">
        <f t="shared" si="0"/>
        <v>0</v>
      </c>
    </row>
    <row r="26" spans="1:11" ht="16.5">
      <c r="A26" s="62">
        <v>25</v>
      </c>
      <c r="B26" s="28"/>
      <c r="C26" s="14" t="s">
        <v>202</v>
      </c>
      <c r="D26" s="2"/>
      <c r="E26" s="274">
        <f>'Enterprise Budget'!F25</f>
        <v>1632</v>
      </c>
      <c r="F26" s="53"/>
      <c r="G26" s="175">
        <f t="shared" si="1"/>
        <v>-1632</v>
      </c>
      <c r="H26" s="335"/>
      <c r="I26" s="247"/>
      <c r="J26" s="274">
        <f t="shared" ref="J26:J43" si="4">E26+(E26*$J$2)</f>
        <v>1648.32</v>
      </c>
      <c r="K26" s="10">
        <f t="shared" si="0"/>
        <v>16.319999999999936</v>
      </c>
    </row>
    <row r="27" spans="1:11">
      <c r="A27" s="62">
        <v>26</v>
      </c>
      <c r="B27" s="28"/>
      <c r="C27" s="14" t="s">
        <v>161</v>
      </c>
      <c r="D27" s="2"/>
      <c r="E27" s="274">
        <f>'Enterprise Budget'!F26</f>
        <v>690</v>
      </c>
      <c r="F27" s="175">
        <f t="shared" ref="F27" si="5">F14*F13</f>
        <v>0</v>
      </c>
      <c r="G27" s="175">
        <f t="shared" si="1"/>
        <v>-690</v>
      </c>
      <c r="H27" s="335"/>
      <c r="I27" s="247"/>
      <c r="J27" s="274">
        <f t="shared" si="4"/>
        <v>696.9</v>
      </c>
      <c r="K27" s="10">
        <f t="shared" si="0"/>
        <v>6.8999999999999773</v>
      </c>
    </row>
    <row r="28" spans="1:11">
      <c r="A28" s="62">
        <v>27</v>
      </c>
      <c r="B28" s="28"/>
      <c r="C28" s="14" t="s">
        <v>4</v>
      </c>
      <c r="D28" s="2"/>
      <c r="E28" s="274">
        <f>'Enterprise Budget'!F27</f>
        <v>75</v>
      </c>
      <c r="F28" s="53"/>
      <c r="G28" s="175">
        <f t="shared" si="1"/>
        <v>-75</v>
      </c>
      <c r="H28" s="335"/>
      <c r="I28" s="247"/>
      <c r="J28" s="274">
        <f t="shared" si="4"/>
        <v>75.75</v>
      </c>
      <c r="K28" s="10">
        <f t="shared" si="0"/>
        <v>0.75</v>
      </c>
    </row>
    <row r="29" spans="1:11">
      <c r="A29" s="62">
        <v>28</v>
      </c>
      <c r="B29" s="28"/>
      <c r="C29" s="14" t="s">
        <v>30</v>
      </c>
      <c r="D29" s="2"/>
      <c r="E29" s="274">
        <f>'Enterprise Budget'!F28</f>
        <v>0</v>
      </c>
      <c r="F29" s="53"/>
      <c r="G29" s="175">
        <f t="shared" si="1"/>
        <v>0</v>
      </c>
      <c r="H29" s="335"/>
      <c r="I29" s="247"/>
      <c r="J29" s="274">
        <f t="shared" si="4"/>
        <v>0</v>
      </c>
      <c r="K29" s="10">
        <f t="shared" si="0"/>
        <v>0</v>
      </c>
    </row>
    <row r="30" spans="1:11">
      <c r="A30" s="62">
        <v>29</v>
      </c>
      <c r="B30" s="28"/>
      <c r="C30" s="14" t="s">
        <v>15</v>
      </c>
      <c r="D30" s="2"/>
      <c r="E30" s="274">
        <f>'Enterprise Budget'!F29</f>
        <v>115</v>
      </c>
      <c r="F30" s="53"/>
      <c r="G30" s="175">
        <f t="shared" si="1"/>
        <v>-115</v>
      </c>
      <c r="H30" s="335"/>
      <c r="I30" s="247"/>
      <c r="J30" s="274">
        <f t="shared" si="4"/>
        <v>116.15</v>
      </c>
      <c r="K30" s="10">
        <f t="shared" si="0"/>
        <v>1.1500000000000057</v>
      </c>
    </row>
    <row r="31" spans="1:11">
      <c r="A31" s="62">
        <v>30</v>
      </c>
      <c r="B31" s="28"/>
      <c r="C31" s="14" t="s">
        <v>16</v>
      </c>
      <c r="D31" s="2"/>
      <c r="E31" s="274">
        <f>'Enterprise Budget'!F30</f>
        <v>25</v>
      </c>
      <c r="F31" s="53"/>
      <c r="G31" s="175">
        <f t="shared" si="1"/>
        <v>-25</v>
      </c>
      <c r="H31" s="335"/>
      <c r="I31" s="247"/>
      <c r="J31" s="274">
        <f t="shared" si="4"/>
        <v>25.25</v>
      </c>
      <c r="K31" s="10">
        <f t="shared" si="0"/>
        <v>0.25</v>
      </c>
    </row>
    <row r="32" spans="1:11">
      <c r="A32" s="62">
        <v>31</v>
      </c>
      <c r="B32" s="28"/>
      <c r="C32" s="14" t="s">
        <v>5</v>
      </c>
      <c r="D32" s="2"/>
      <c r="E32" s="274">
        <f>'Enterprise Budget'!F31</f>
        <v>200</v>
      </c>
      <c r="F32" s="53"/>
      <c r="G32" s="175">
        <f t="shared" si="1"/>
        <v>-200</v>
      </c>
      <c r="H32" s="335"/>
      <c r="I32" s="247"/>
      <c r="J32" s="274">
        <f t="shared" si="4"/>
        <v>202</v>
      </c>
      <c r="K32" s="10">
        <f t="shared" si="0"/>
        <v>2</v>
      </c>
    </row>
    <row r="33" spans="1:11">
      <c r="A33" s="62">
        <v>32</v>
      </c>
      <c r="B33" s="28"/>
      <c r="C33" s="14" t="s">
        <v>6</v>
      </c>
      <c r="D33" s="2"/>
      <c r="E33" s="274">
        <f>'Enterprise Budget'!F32</f>
        <v>105</v>
      </c>
      <c r="F33" s="53"/>
      <c r="G33" s="175">
        <f t="shared" si="1"/>
        <v>-105</v>
      </c>
      <c r="H33" s="335"/>
      <c r="I33" s="247"/>
      <c r="J33" s="274">
        <f t="shared" si="4"/>
        <v>106.05</v>
      </c>
      <c r="K33" s="10">
        <f t="shared" si="0"/>
        <v>1.0499999999999972</v>
      </c>
    </row>
    <row r="34" spans="1:11">
      <c r="A34" s="62">
        <v>33</v>
      </c>
      <c r="B34" s="28"/>
      <c r="C34" s="14" t="s">
        <v>17</v>
      </c>
      <c r="D34" s="2"/>
      <c r="E34" s="274">
        <f>'Enterprise Budget'!F33</f>
        <v>91</v>
      </c>
      <c r="F34" s="53"/>
      <c r="G34" s="175">
        <f t="shared" si="1"/>
        <v>-91</v>
      </c>
      <c r="H34" s="335"/>
      <c r="I34" s="247"/>
      <c r="J34" s="274">
        <f t="shared" si="4"/>
        <v>91.91</v>
      </c>
      <c r="K34" s="10">
        <f t="shared" si="0"/>
        <v>0.90999999999999659</v>
      </c>
    </row>
    <row r="35" spans="1:11">
      <c r="A35" s="62">
        <v>34</v>
      </c>
      <c r="B35" s="28"/>
      <c r="C35" s="14" t="s">
        <v>7</v>
      </c>
      <c r="D35" s="2"/>
      <c r="E35" s="274">
        <f>'Enterprise Budget'!F34</f>
        <v>0</v>
      </c>
      <c r="F35" s="53"/>
      <c r="G35" s="175">
        <f t="shared" si="1"/>
        <v>0</v>
      </c>
      <c r="H35" s="335"/>
      <c r="I35" s="247"/>
      <c r="J35" s="274">
        <f t="shared" si="4"/>
        <v>0</v>
      </c>
      <c r="K35" s="10">
        <f t="shared" si="0"/>
        <v>0</v>
      </c>
    </row>
    <row r="36" spans="1:11">
      <c r="A36" s="62">
        <v>35</v>
      </c>
      <c r="B36" s="28"/>
      <c r="C36" s="14" t="s">
        <v>27</v>
      </c>
      <c r="D36" s="72">
        <v>0.8</v>
      </c>
      <c r="E36" s="274">
        <f>'Enterprise Budget'!F35</f>
        <v>192</v>
      </c>
      <c r="F36" s="4">
        <f>($D$36*(F3/100))</f>
        <v>0</v>
      </c>
      <c r="G36" s="175">
        <f t="shared" si="1"/>
        <v>-192</v>
      </c>
      <c r="H36" s="335"/>
      <c r="I36" s="247"/>
      <c r="J36" s="274">
        <f t="shared" si="4"/>
        <v>193.92</v>
      </c>
      <c r="K36" s="10">
        <f t="shared" si="0"/>
        <v>1.9199999999999875</v>
      </c>
    </row>
    <row r="37" spans="1:11">
      <c r="A37" s="62">
        <v>36</v>
      </c>
      <c r="B37" s="28"/>
      <c r="C37" s="14" t="s">
        <v>10</v>
      </c>
      <c r="D37" s="2"/>
      <c r="E37" s="274">
        <f>'Enterprise Budget'!F36</f>
        <v>80</v>
      </c>
      <c r="F37" s="53"/>
      <c r="G37" s="175">
        <f t="shared" si="1"/>
        <v>-80</v>
      </c>
      <c r="H37" s="335"/>
      <c r="I37" s="247"/>
      <c r="J37" s="274">
        <f t="shared" si="4"/>
        <v>80.8</v>
      </c>
      <c r="K37" s="10">
        <f t="shared" si="0"/>
        <v>0.79999999999999716</v>
      </c>
    </row>
    <row r="38" spans="1:11" ht="16.5">
      <c r="A38" s="62">
        <v>37</v>
      </c>
      <c r="B38" s="28"/>
      <c r="C38" s="14" t="s">
        <v>204</v>
      </c>
      <c r="D38" s="2"/>
      <c r="E38" s="274">
        <f>'Enterprise Budget'!F37</f>
        <v>412.5</v>
      </c>
      <c r="F38" s="4">
        <f>F12*F11</f>
        <v>0</v>
      </c>
      <c r="G38" s="175">
        <f t="shared" si="1"/>
        <v>-412.5</v>
      </c>
      <c r="H38" s="335"/>
      <c r="I38" s="247"/>
      <c r="J38" s="274">
        <f t="shared" si="4"/>
        <v>416.625</v>
      </c>
      <c r="K38" s="10">
        <f t="shared" si="0"/>
        <v>4.125</v>
      </c>
    </row>
    <row r="39" spans="1:11">
      <c r="A39" s="62">
        <v>38</v>
      </c>
      <c r="B39" s="28"/>
      <c r="C39" s="14" t="s">
        <v>29</v>
      </c>
      <c r="D39" s="2"/>
      <c r="E39" s="274">
        <f>'Enterprise Budget'!F38</f>
        <v>0</v>
      </c>
      <c r="F39" s="53"/>
      <c r="G39" s="175">
        <f t="shared" si="1"/>
        <v>0</v>
      </c>
      <c r="H39" s="335"/>
      <c r="I39" s="247"/>
      <c r="J39" s="274">
        <f t="shared" si="4"/>
        <v>0</v>
      </c>
      <c r="K39" s="10">
        <f t="shared" si="0"/>
        <v>0</v>
      </c>
    </row>
    <row r="40" spans="1:11">
      <c r="A40" s="62">
        <v>39</v>
      </c>
      <c r="B40" s="28"/>
      <c r="C40" s="14" t="s">
        <v>31</v>
      </c>
      <c r="D40" s="2"/>
      <c r="E40" s="274">
        <f>'Enterprise Budget'!F39</f>
        <v>0</v>
      </c>
      <c r="F40" s="53"/>
      <c r="G40" s="175">
        <f t="shared" si="1"/>
        <v>0</v>
      </c>
      <c r="H40" s="335"/>
      <c r="I40" s="247"/>
      <c r="J40" s="274">
        <f t="shared" si="4"/>
        <v>0</v>
      </c>
      <c r="K40" s="10">
        <f t="shared" si="0"/>
        <v>0</v>
      </c>
    </row>
    <row r="41" spans="1:11">
      <c r="A41" s="62">
        <v>40</v>
      </c>
      <c r="B41" s="28"/>
      <c r="C41" s="14" t="s">
        <v>196</v>
      </c>
      <c r="D41" s="118"/>
      <c r="E41" s="274">
        <f>'Enterprise Budget'!F40</f>
        <v>0</v>
      </c>
      <c r="F41" s="53"/>
      <c r="G41" s="175">
        <f t="shared" si="1"/>
        <v>0</v>
      </c>
      <c r="H41" s="335"/>
      <c r="I41" s="247"/>
      <c r="J41" s="274">
        <f t="shared" si="4"/>
        <v>0</v>
      </c>
      <c r="K41" s="10">
        <f t="shared" si="0"/>
        <v>0</v>
      </c>
    </row>
    <row r="42" spans="1:11">
      <c r="A42" s="62">
        <v>41</v>
      </c>
      <c r="B42" s="28"/>
      <c r="C42" s="14" t="s">
        <v>12</v>
      </c>
      <c r="D42" s="2"/>
      <c r="E42" s="274">
        <f>'Enterprise Budget'!F41</f>
        <v>0</v>
      </c>
      <c r="F42" s="53"/>
      <c r="G42" s="175">
        <f t="shared" si="1"/>
        <v>0</v>
      </c>
      <c r="H42" s="335"/>
      <c r="I42" s="247"/>
      <c r="J42" s="274">
        <f t="shared" si="4"/>
        <v>0</v>
      </c>
      <c r="K42" s="10">
        <f t="shared" si="0"/>
        <v>0</v>
      </c>
    </row>
    <row r="43" spans="1:11" ht="16.5">
      <c r="A43" s="62">
        <v>42</v>
      </c>
      <c r="B43" s="28"/>
      <c r="C43" s="14" t="s">
        <v>205</v>
      </c>
      <c r="D43" s="73">
        <v>0.05</v>
      </c>
      <c r="E43" s="274">
        <f>'Enterprise Budget'!F42</f>
        <v>85.637500000000003</v>
      </c>
      <c r="F43" s="4">
        <f>(SUM(F26:F42)-F36)*0.5*$D$43</f>
        <v>0</v>
      </c>
      <c r="G43" s="175">
        <f t="shared" si="1"/>
        <v>-85.637500000000003</v>
      </c>
      <c r="H43" s="335"/>
      <c r="I43" s="247"/>
      <c r="J43" s="274">
        <f t="shared" si="4"/>
        <v>86.493875000000003</v>
      </c>
      <c r="K43" s="10">
        <f t="shared" si="0"/>
        <v>0.85637499999999989</v>
      </c>
    </row>
    <row r="44" spans="1:11" s="1" customFormat="1" ht="15" thickBot="1">
      <c r="A44" s="62">
        <v>43</v>
      </c>
      <c r="B44" s="149"/>
      <c r="C44" s="150" t="s">
        <v>8</v>
      </c>
      <c r="D44" s="151"/>
      <c r="E44" s="275">
        <f>'Enterprise Budget'!F43</f>
        <v>3703.1374999999998</v>
      </c>
      <c r="F44" s="180">
        <f t="shared" ref="F44" si="6">SUM(F26:F43)</f>
        <v>0</v>
      </c>
      <c r="G44" s="180">
        <f t="shared" si="1"/>
        <v>-3703.1374999999998</v>
      </c>
      <c r="H44" s="336"/>
      <c r="I44" s="258"/>
      <c r="J44" s="316">
        <f t="shared" ref="J44" si="7">SUM(J26:J43)</f>
        <v>3740.1688750000003</v>
      </c>
      <c r="K44" s="254">
        <f t="shared" si="0"/>
        <v>37.03137500000048</v>
      </c>
    </row>
    <row r="45" spans="1:11">
      <c r="A45" s="62">
        <v>44</v>
      </c>
      <c r="B45" s="145" t="s">
        <v>9</v>
      </c>
      <c r="C45" s="146"/>
      <c r="D45" s="147"/>
      <c r="E45" s="272"/>
      <c r="F45" s="65"/>
      <c r="G45" s="184">
        <f t="shared" si="1"/>
        <v>0</v>
      </c>
      <c r="H45" s="236"/>
      <c r="I45" s="203"/>
      <c r="J45" s="351"/>
      <c r="K45" s="66"/>
    </row>
    <row r="46" spans="1:11" ht="16.5">
      <c r="A46" s="62">
        <v>45</v>
      </c>
      <c r="B46" s="29"/>
      <c r="C46" s="231" t="s">
        <v>207</v>
      </c>
      <c r="D46" s="229" t="s">
        <v>168</v>
      </c>
      <c r="E46" s="270"/>
      <c r="F46" s="2"/>
      <c r="G46" s="177">
        <f t="shared" si="1"/>
        <v>0</v>
      </c>
      <c r="H46" s="236"/>
      <c r="I46" s="203"/>
      <c r="J46" s="12"/>
      <c r="K46" s="10"/>
    </row>
    <row r="47" spans="1:11">
      <c r="A47" s="62">
        <v>46</v>
      </c>
      <c r="B47" s="29"/>
      <c r="C47" s="14" t="s">
        <v>154</v>
      </c>
      <c r="D47" s="230">
        <f>'Mach and Bldg Cost calculator'!H42</f>
        <v>177.33566666666667</v>
      </c>
      <c r="E47" s="270">
        <f>'Enterprise Budget'!F46</f>
        <v>177</v>
      </c>
      <c r="F47" s="185"/>
      <c r="G47" s="177">
        <f t="shared" si="1"/>
        <v>-177</v>
      </c>
      <c r="H47" s="236"/>
      <c r="I47" s="203"/>
      <c r="J47" s="274">
        <f>E47+(E47*$J$2)</f>
        <v>178.77</v>
      </c>
      <c r="K47" s="10">
        <f t="shared" ref="K47:K60" si="8">J47-E47</f>
        <v>1.7700000000000102</v>
      </c>
    </row>
    <row r="48" spans="1:11">
      <c r="A48" s="62">
        <v>47</v>
      </c>
      <c r="B48" s="29"/>
      <c r="C48" s="14" t="s">
        <v>155</v>
      </c>
      <c r="D48" s="230">
        <f>'Mach and Bldg Cost calculator'!I42</f>
        <v>172.43135000000001</v>
      </c>
      <c r="E48" s="270">
        <f>'Enterprise Budget'!F47</f>
        <v>133</v>
      </c>
      <c r="F48" s="185"/>
      <c r="G48" s="177">
        <f t="shared" si="1"/>
        <v>-133</v>
      </c>
      <c r="H48" s="236"/>
      <c r="I48" s="203"/>
      <c r="J48" s="274">
        <f>E48+(E48*$J$2)</f>
        <v>134.33000000000001</v>
      </c>
      <c r="K48" s="10">
        <f t="shared" si="8"/>
        <v>1.3300000000000125</v>
      </c>
    </row>
    <row r="49" spans="1:11">
      <c r="A49" s="62">
        <v>48</v>
      </c>
      <c r="B49" s="29"/>
      <c r="C49" s="14" t="s">
        <v>156</v>
      </c>
      <c r="D49" s="230">
        <f>'Mach and Bldg Cost calculator'!J42</f>
        <v>0</v>
      </c>
      <c r="E49" s="270">
        <f>'Enterprise Budget'!F48</f>
        <v>0</v>
      </c>
      <c r="F49" s="185"/>
      <c r="G49" s="177">
        <f t="shared" si="1"/>
        <v>0</v>
      </c>
      <c r="H49" s="236"/>
      <c r="I49" s="203"/>
      <c r="J49" s="274">
        <f>E49+(E49*$J$2)</f>
        <v>0</v>
      </c>
      <c r="K49" s="10">
        <f t="shared" si="8"/>
        <v>0</v>
      </c>
    </row>
    <row r="50" spans="1:11">
      <c r="A50" s="62">
        <v>49</v>
      </c>
      <c r="B50" s="29"/>
      <c r="C50" s="14" t="s">
        <v>157</v>
      </c>
      <c r="D50" s="230">
        <f>'Mach and Bldg Cost calculator'!K42</f>
        <v>14.369279166666665</v>
      </c>
      <c r="E50" s="270">
        <f>'Enterprise Budget'!F49</f>
        <v>11</v>
      </c>
      <c r="F50" s="185"/>
      <c r="G50" s="177">
        <f t="shared" si="1"/>
        <v>-11</v>
      </c>
      <c r="H50" s="236"/>
      <c r="I50" s="203"/>
      <c r="J50" s="274">
        <f>E50+(E50*$J$2)</f>
        <v>11.11</v>
      </c>
      <c r="K50" s="10">
        <f t="shared" si="8"/>
        <v>0.10999999999999943</v>
      </c>
    </row>
    <row r="51" spans="1:11">
      <c r="A51" s="62">
        <v>50</v>
      </c>
      <c r="B51" s="29"/>
      <c r="C51" s="14" t="s">
        <v>158</v>
      </c>
      <c r="D51" s="230">
        <f>'Mach and Bldg Cost calculator'!L42</f>
        <v>4.1952083333333334</v>
      </c>
      <c r="E51" s="270">
        <f>'Enterprise Budget'!F50</f>
        <v>3</v>
      </c>
      <c r="F51" s="185"/>
      <c r="G51" s="177">
        <f t="shared" si="1"/>
        <v>-3</v>
      </c>
      <c r="H51" s="236"/>
      <c r="I51" s="203"/>
      <c r="J51" s="274">
        <f>E51+(E51*$J$2)</f>
        <v>3.03</v>
      </c>
      <c r="K51" s="10">
        <f t="shared" si="8"/>
        <v>2.9999999999999805E-2</v>
      </c>
    </row>
    <row r="52" spans="1:11">
      <c r="A52" s="62">
        <v>51</v>
      </c>
      <c r="B52" s="29"/>
      <c r="C52" s="14" t="s">
        <v>159</v>
      </c>
      <c r="D52" s="2"/>
      <c r="E52" s="270"/>
      <c r="F52" s="2"/>
      <c r="G52" s="177">
        <f t="shared" si="1"/>
        <v>0</v>
      </c>
      <c r="H52" s="236"/>
      <c r="I52" s="203"/>
      <c r="J52" s="274"/>
      <c r="K52" s="10">
        <f t="shared" si="8"/>
        <v>0</v>
      </c>
    </row>
    <row r="53" spans="1:11">
      <c r="A53" s="62">
        <v>52</v>
      </c>
      <c r="B53" s="29"/>
      <c r="C53" s="14" t="s">
        <v>154</v>
      </c>
      <c r="D53" s="2"/>
      <c r="E53" s="270">
        <f>'Enterprise Budget'!F52</f>
        <v>0</v>
      </c>
      <c r="F53" s="54"/>
      <c r="G53" s="177">
        <f t="shared" si="1"/>
        <v>0</v>
      </c>
      <c r="H53" s="236"/>
      <c r="I53" s="203"/>
      <c r="J53" s="274">
        <f t="shared" ref="J53:J59" si="9">E53+(E53*$J$2)</f>
        <v>0</v>
      </c>
      <c r="K53" s="10">
        <f t="shared" si="8"/>
        <v>0</v>
      </c>
    </row>
    <row r="54" spans="1:11">
      <c r="A54" s="62">
        <v>53</v>
      </c>
      <c r="B54" s="29"/>
      <c r="C54" s="14" t="s">
        <v>193</v>
      </c>
      <c r="D54" s="73">
        <v>0.01</v>
      </c>
      <c r="E54" s="274">
        <f>'Enterprise Budget'!F53</f>
        <v>7.4050000000000002</v>
      </c>
      <c r="F54" s="4">
        <f>(F12+F20)*0.5*$D$54</f>
        <v>0</v>
      </c>
      <c r="G54" s="175">
        <f t="shared" si="1"/>
        <v>-7.4050000000000002</v>
      </c>
      <c r="H54" s="335"/>
      <c r="I54" s="247"/>
      <c r="J54" s="274">
        <f t="shared" si="9"/>
        <v>7.47905</v>
      </c>
      <c r="K54" s="10">
        <f t="shared" si="8"/>
        <v>7.4049999999999727E-2</v>
      </c>
    </row>
    <row r="55" spans="1:11">
      <c r="A55" s="62">
        <v>54</v>
      </c>
      <c r="B55" s="29"/>
      <c r="C55" s="14" t="s">
        <v>194</v>
      </c>
      <c r="D55" s="73">
        <v>0.05</v>
      </c>
      <c r="E55" s="274">
        <f>'Enterprise Budget'!F54</f>
        <v>37.024999999999999</v>
      </c>
      <c r="F55" s="4">
        <f>(F12+F20)*0.5*$D$55</f>
        <v>0</v>
      </c>
      <c r="G55" s="175">
        <f t="shared" si="1"/>
        <v>-37.024999999999999</v>
      </c>
      <c r="H55" s="335"/>
      <c r="I55" s="247"/>
      <c r="J55" s="274">
        <f t="shared" si="9"/>
        <v>37.395249999999997</v>
      </c>
      <c r="K55" s="10">
        <f t="shared" si="8"/>
        <v>0.37024999999999864</v>
      </c>
    </row>
    <row r="56" spans="1:11" ht="16.5">
      <c r="A56" s="62">
        <v>55</v>
      </c>
      <c r="B56" s="29"/>
      <c r="C56" s="14" t="s">
        <v>212</v>
      </c>
      <c r="D56" s="2"/>
      <c r="E56" s="270">
        <f>'Enterprise Budget'!F55</f>
        <v>0</v>
      </c>
      <c r="F56" s="54"/>
      <c r="G56" s="177">
        <f t="shared" si="1"/>
        <v>0</v>
      </c>
      <c r="H56" s="236"/>
      <c r="I56" s="203"/>
      <c r="J56" s="274">
        <f t="shared" si="9"/>
        <v>0</v>
      </c>
      <c r="K56" s="10">
        <f t="shared" si="8"/>
        <v>0</v>
      </c>
    </row>
    <row r="57" spans="1:11">
      <c r="A57" s="62">
        <v>56</v>
      </c>
      <c r="B57" s="28"/>
      <c r="C57" s="14" t="s">
        <v>18</v>
      </c>
      <c r="D57" s="73">
        <v>0</v>
      </c>
      <c r="E57" s="274">
        <f>'Enterprise Budget'!F56</f>
        <v>0</v>
      </c>
      <c r="F57" s="4" t="e">
        <f>F23*$D$57</f>
        <v>#DIV/0!</v>
      </c>
      <c r="G57" s="175" t="e">
        <f t="shared" si="1"/>
        <v>#DIV/0!</v>
      </c>
      <c r="H57" s="335"/>
      <c r="I57" s="247"/>
      <c r="J57" s="274">
        <f t="shared" si="9"/>
        <v>0</v>
      </c>
      <c r="K57" s="10">
        <f t="shared" si="8"/>
        <v>0</v>
      </c>
    </row>
    <row r="58" spans="1:11">
      <c r="A58" s="62">
        <v>57</v>
      </c>
      <c r="B58" s="28"/>
      <c r="C58" s="14" t="s">
        <v>12</v>
      </c>
      <c r="D58" s="2"/>
      <c r="E58" s="270">
        <f>'Enterprise Budget'!F57</f>
        <v>0</v>
      </c>
      <c r="F58" s="54"/>
      <c r="G58" s="177">
        <f t="shared" si="1"/>
        <v>0</v>
      </c>
      <c r="H58" s="236"/>
      <c r="I58" s="203"/>
      <c r="J58" s="274">
        <f t="shared" si="9"/>
        <v>0</v>
      </c>
      <c r="K58" s="10">
        <f t="shared" si="8"/>
        <v>0</v>
      </c>
    </row>
    <row r="59" spans="1:11">
      <c r="A59" s="62">
        <v>58</v>
      </c>
      <c r="B59" s="28"/>
      <c r="C59" s="14" t="s">
        <v>12</v>
      </c>
      <c r="D59" s="2"/>
      <c r="E59" s="270">
        <f>'Enterprise Budget'!F58</f>
        <v>0</v>
      </c>
      <c r="F59" s="54"/>
      <c r="G59" s="177">
        <f t="shared" si="1"/>
        <v>0</v>
      </c>
      <c r="H59" s="236"/>
      <c r="I59" s="203"/>
      <c r="J59" s="274">
        <f t="shared" si="9"/>
        <v>0</v>
      </c>
      <c r="K59" s="10">
        <f t="shared" si="8"/>
        <v>0</v>
      </c>
    </row>
    <row r="60" spans="1:11" s="1" customFormat="1" ht="15" thickBot="1">
      <c r="A60" s="62">
        <v>59</v>
      </c>
      <c r="B60" s="149"/>
      <c r="C60" s="150" t="s">
        <v>11</v>
      </c>
      <c r="D60" s="151"/>
      <c r="E60" s="275">
        <f>'Enterprise Budget'!F59</f>
        <v>368.42999999999995</v>
      </c>
      <c r="F60" s="154" t="e">
        <f>SUM(F46:F59)</f>
        <v>#DIV/0!</v>
      </c>
      <c r="G60" s="180" t="e">
        <f t="shared" si="1"/>
        <v>#DIV/0!</v>
      </c>
      <c r="H60" s="336"/>
      <c r="I60" s="258"/>
      <c r="J60" s="316">
        <f>SUM(J46:J59)</f>
        <v>372.11429999999996</v>
      </c>
      <c r="K60" s="254">
        <f t="shared" si="8"/>
        <v>3.6843000000000075</v>
      </c>
    </row>
    <row r="61" spans="1:11">
      <c r="A61" s="62">
        <v>60</v>
      </c>
      <c r="B61" s="76"/>
      <c r="C61" s="156"/>
      <c r="D61" s="157"/>
      <c r="E61" s="276"/>
      <c r="F61" s="295"/>
      <c r="G61" s="297">
        <f t="shared" si="1"/>
        <v>0</v>
      </c>
      <c r="H61" s="337"/>
      <c r="I61" s="202"/>
      <c r="J61" s="352"/>
      <c r="K61" s="66"/>
    </row>
    <row r="62" spans="1:11">
      <c r="A62" s="62">
        <v>61</v>
      </c>
      <c r="B62" s="28"/>
      <c r="C62" s="43" t="s">
        <v>41</v>
      </c>
      <c r="D62" s="44"/>
      <c r="E62" s="277">
        <f>'Enterprise Budget'!F61</f>
        <v>4071.5674999999997</v>
      </c>
      <c r="F62" s="45" t="e">
        <f>F44+F60</f>
        <v>#DIV/0!</v>
      </c>
      <c r="G62" s="181" t="e">
        <f t="shared" si="1"/>
        <v>#DIV/0!</v>
      </c>
      <c r="H62" s="338"/>
      <c r="I62" s="342"/>
      <c r="J62" s="317">
        <f>J44+J60</f>
        <v>4112.2831750000005</v>
      </c>
      <c r="K62" s="10">
        <f>J62-E62</f>
        <v>40.715675000000829</v>
      </c>
    </row>
    <row r="63" spans="1:11">
      <c r="A63" s="62">
        <v>62</v>
      </c>
      <c r="B63" s="28"/>
      <c r="C63" s="15" t="s">
        <v>40</v>
      </c>
      <c r="D63" s="7"/>
      <c r="E63" s="278">
        <f>'Enterprise Budget'!F62</f>
        <v>386.43250000000035</v>
      </c>
      <c r="F63" s="8" t="e">
        <f>F23-F62</f>
        <v>#DIV/0!</v>
      </c>
      <c r="G63" s="182" t="e">
        <f t="shared" si="1"/>
        <v>#DIV/0!</v>
      </c>
      <c r="H63" s="337"/>
      <c r="I63" s="202"/>
      <c r="J63" s="318">
        <f>J23-J62</f>
        <v>345.71682499999952</v>
      </c>
      <c r="K63" s="10">
        <f>J63-E63</f>
        <v>-40.715675000000829</v>
      </c>
    </row>
    <row r="64" spans="1:11">
      <c r="A64" s="62">
        <v>63</v>
      </c>
      <c r="B64" s="28"/>
      <c r="C64" s="15" t="s">
        <v>24</v>
      </c>
      <c r="D64" s="7"/>
      <c r="E64" s="279">
        <f>'Enterprise Budget'!F63</f>
        <v>1.6101354166666682</v>
      </c>
      <c r="F64" s="287" t="e">
        <f>F63/(F3/100)</f>
        <v>#DIV/0!</v>
      </c>
      <c r="G64" s="298" t="e">
        <f t="shared" si="1"/>
        <v>#DIV/0!</v>
      </c>
      <c r="H64" s="339"/>
      <c r="I64" s="343"/>
      <c r="J64" s="319">
        <f>J63/(J3/100)</f>
        <v>1.4404867708333313</v>
      </c>
      <c r="K64" s="11">
        <f>J64-E64</f>
        <v>-0.16964864583333683</v>
      </c>
    </row>
    <row r="65" spans="1:11">
      <c r="A65" s="62">
        <v>64</v>
      </c>
      <c r="B65" s="28"/>
      <c r="C65" s="15" t="s">
        <v>28</v>
      </c>
      <c r="D65" s="7"/>
      <c r="E65" s="278">
        <f>'Enterprise Budget'!F64</f>
        <v>231859.5000000002</v>
      </c>
      <c r="F65" s="8" t="e">
        <f>F4*F63</f>
        <v>#DIV/0!</v>
      </c>
      <c r="G65" s="182" t="e">
        <f t="shared" si="1"/>
        <v>#DIV/0!</v>
      </c>
      <c r="H65" s="337"/>
      <c r="I65" s="202"/>
      <c r="J65" s="318">
        <f>J4*J63</f>
        <v>207430.09499999971</v>
      </c>
      <c r="K65" s="10">
        <f>J65-E65</f>
        <v>-24429.405000000494</v>
      </c>
    </row>
    <row r="66" spans="1:11">
      <c r="A66" s="62">
        <v>65</v>
      </c>
      <c r="B66" s="159"/>
      <c r="C66" s="307"/>
      <c r="D66" s="307"/>
      <c r="E66" s="308"/>
      <c r="F66" s="308"/>
      <c r="G66" s="309"/>
      <c r="H66" s="202"/>
      <c r="I66" s="202"/>
      <c r="J66" s="320"/>
      <c r="K66" s="320"/>
    </row>
    <row r="67" spans="1:11">
      <c r="A67" s="62">
        <v>66</v>
      </c>
      <c r="B67" s="30" t="s">
        <v>23</v>
      </c>
      <c r="C67" s="14"/>
      <c r="D67" s="7"/>
      <c r="E67" s="278"/>
      <c r="F67" s="8"/>
      <c r="G67" s="182"/>
      <c r="H67" s="337"/>
      <c r="I67" s="202"/>
      <c r="J67" s="318"/>
      <c r="K67" s="10"/>
    </row>
    <row r="68" spans="1:11">
      <c r="A68" s="62">
        <v>67</v>
      </c>
      <c r="B68" s="30"/>
      <c r="C68" s="15" t="s">
        <v>162</v>
      </c>
      <c r="D68" s="7"/>
      <c r="E68" s="278">
        <f>'Enterprise Budget'!F67</f>
        <v>2927.5</v>
      </c>
      <c r="F68" s="8">
        <f>F44-F43-F27</f>
        <v>0</v>
      </c>
      <c r="G68" s="182">
        <f t="shared" ref="G68:G94" si="10">F68-E68</f>
        <v>-2927.5</v>
      </c>
      <c r="H68" s="337"/>
      <c r="I68" s="202"/>
      <c r="J68" s="318">
        <f>J44-J43-J27</f>
        <v>2956.7750000000001</v>
      </c>
      <c r="K68" s="10">
        <f t="shared" ref="K68:K73" si="11">J68-E68</f>
        <v>29.275000000000091</v>
      </c>
    </row>
    <row r="69" spans="1:11">
      <c r="A69" s="62">
        <v>68</v>
      </c>
      <c r="B69" s="28"/>
      <c r="C69" s="15" t="s">
        <v>163</v>
      </c>
      <c r="D69" s="7"/>
      <c r="E69" s="278">
        <f>'Enterprise Budget'!F68</f>
        <v>3617.5</v>
      </c>
      <c r="F69" s="8">
        <f>F68+F27</f>
        <v>0</v>
      </c>
      <c r="G69" s="182">
        <f t="shared" si="10"/>
        <v>-3617.5</v>
      </c>
      <c r="H69" s="337"/>
      <c r="I69" s="202"/>
      <c r="J69" s="318">
        <f>J68+J27</f>
        <v>3653.6750000000002</v>
      </c>
      <c r="K69" s="10">
        <f t="shared" si="11"/>
        <v>36.175000000000182</v>
      </c>
    </row>
    <row r="70" spans="1:11">
      <c r="A70" s="62">
        <v>69</v>
      </c>
      <c r="B70" s="28"/>
      <c r="C70" s="15" t="s">
        <v>165</v>
      </c>
      <c r="D70" s="7"/>
      <c r="E70" s="278">
        <f>'Enterprise Budget'!F69</f>
        <v>3703.1374999999998</v>
      </c>
      <c r="F70" s="8">
        <f>F69+F43</f>
        <v>0</v>
      </c>
      <c r="G70" s="182">
        <f t="shared" si="10"/>
        <v>-3703.1374999999998</v>
      </c>
      <c r="H70" s="337"/>
      <c r="I70" s="202"/>
      <c r="J70" s="318">
        <f>J69+J43</f>
        <v>3740.1688750000003</v>
      </c>
      <c r="K70" s="10">
        <f t="shared" si="11"/>
        <v>37.03137500000048</v>
      </c>
    </row>
    <row r="71" spans="1:11">
      <c r="A71" s="62">
        <v>70</v>
      </c>
      <c r="B71" s="28"/>
      <c r="C71" s="15" t="s">
        <v>166</v>
      </c>
      <c r="D71" s="2"/>
      <c r="E71" s="270">
        <f>'Enterprise Budget'!F70</f>
        <v>3894.5674999999997</v>
      </c>
      <c r="F71" s="10" t="e">
        <f>F70+(F60-F47-F53-F57)</f>
        <v>#DIV/0!</v>
      </c>
      <c r="G71" s="177" t="e">
        <f t="shared" si="10"/>
        <v>#DIV/0!</v>
      </c>
      <c r="H71" s="236"/>
      <c r="I71" s="203"/>
      <c r="J71" s="313">
        <f>J70+(J60-J47-J53-J57)</f>
        <v>3933.513175</v>
      </c>
      <c r="K71" s="10">
        <f t="shared" si="11"/>
        <v>38.945675000000392</v>
      </c>
    </row>
    <row r="72" spans="1:11">
      <c r="A72" s="62">
        <v>71</v>
      </c>
      <c r="B72" s="28"/>
      <c r="C72" s="15" t="s">
        <v>164</v>
      </c>
      <c r="D72" s="2"/>
      <c r="E72" s="270">
        <f>'Enterprise Budget'!F71</f>
        <v>4071.5674999999997</v>
      </c>
      <c r="F72" s="10" t="e">
        <f>F71+F47+F53</f>
        <v>#DIV/0!</v>
      </c>
      <c r="G72" s="177" t="e">
        <f t="shared" si="10"/>
        <v>#DIV/0!</v>
      </c>
      <c r="H72" s="236"/>
      <c r="I72" s="203"/>
      <c r="J72" s="313">
        <f>J71+J47+J53</f>
        <v>4112.2831750000005</v>
      </c>
      <c r="K72" s="10">
        <f t="shared" si="11"/>
        <v>40.715675000000829</v>
      </c>
    </row>
    <row r="73" spans="1:11">
      <c r="A73" s="62">
        <v>72</v>
      </c>
      <c r="B73" s="28"/>
      <c r="C73" s="15" t="s">
        <v>167</v>
      </c>
      <c r="D73" s="2"/>
      <c r="E73" s="270">
        <f>'Enterprise Budget'!F72</f>
        <v>4071.5674999999997</v>
      </c>
      <c r="F73" s="10" t="e">
        <f>F72+F57</f>
        <v>#DIV/0!</v>
      </c>
      <c r="G73" s="177" t="e">
        <f t="shared" si="10"/>
        <v>#DIV/0!</v>
      </c>
      <c r="H73" s="236"/>
      <c r="I73" s="203"/>
      <c r="J73" s="313">
        <f>J72+J57</f>
        <v>4112.2831750000005</v>
      </c>
      <c r="K73" s="10">
        <f t="shared" si="11"/>
        <v>40.715675000000829</v>
      </c>
    </row>
    <row r="74" spans="1:11">
      <c r="A74" s="62">
        <v>73</v>
      </c>
      <c r="B74" s="159"/>
      <c r="C74" s="304"/>
      <c r="D74" s="304"/>
      <c r="E74" s="304"/>
      <c r="F74" s="304"/>
      <c r="G74" s="164"/>
      <c r="H74" s="195"/>
      <c r="I74" s="195"/>
      <c r="J74" s="321"/>
      <c r="K74" s="321"/>
    </row>
    <row r="75" spans="1:11">
      <c r="A75" s="62">
        <v>74</v>
      </c>
      <c r="B75" s="30" t="s">
        <v>25</v>
      </c>
      <c r="C75" s="14"/>
      <c r="D75" s="2"/>
      <c r="E75" s="270"/>
      <c r="F75" s="2"/>
      <c r="G75" s="177"/>
      <c r="H75" s="236"/>
      <c r="I75" s="203"/>
      <c r="J75" s="12"/>
      <c r="K75" s="10"/>
    </row>
    <row r="76" spans="1:11">
      <c r="A76" s="62">
        <v>75</v>
      </c>
      <c r="B76" s="28"/>
      <c r="C76" s="15" t="s">
        <v>162</v>
      </c>
      <c r="D76" s="2"/>
      <c r="E76" s="280">
        <f>'Enterprise Budget'!F75</f>
        <v>12.197916666666666</v>
      </c>
      <c r="F76" s="288" t="e">
        <f t="shared" ref="F76:F81" si="12">F68/(F$3/100)</f>
        <v>#DIV/0!</v>
      </c>
      <c r="G76" s="183" t="e">
        <f t="shared" si="10"/>
        <v>#DIV/0!</v>
      </c>
      <c r="H76" s="340"/>
      <c r="I76" s="204"/>
      <c r="J76" s="322">
        <f t="shared" ref="J76:J81" si="13">J68/(J$3/100)</f>
        <v>12.319895833333334</v>
      </c>
      <c r="K76" s="11">
        <f t="shared" ref="K76:K81" si="14">J76-E76</f>
        <v>0.12197916666666764</v>
      </c>
    </row>
    <row r="77" spans="1:11">
      <c r="A77" s="62">
        <v>76</v>
      </c>
      <c r="B77" s="28"/>
      <c r="C77" s="15" t="s">
        <v>163</v>
      </c>
      <c r="D77" s="2"/>
      <c r="E77" s="280">
        <f>'Enterprise Budget'!F76</f>
        <v>15.072916666666666</v>
      </c>
      <c r="F77" s="288" t="e">
        <f t="shared" si="12"/>
        <v>#DIV/0!</v>
      </c>
      <c r="G77" s="183" t="e">
        <f t="shared" si="10"/>
        <v>#DIV/0!</v>
      </c>
      <c r="H77" s="340"/>
      <c r="I77" s="204"/>
      <c r="J77" s="322">
        <f t="shared" si="13"/>
        <v>15.223645833333334</v>
      </c>
      <c r="K77" s="11">
        <f t="shared" si="14"/>
        <v>0.15072916666666814</v>
      </c>
    </row>
    <row r="78" spans="1:11">
      <c r="A78" s="62">
        <v>77</v>
      </c>
      <c r="B78" s="28"/>
      <c r="C78" s="15" t="s">
        <v>165</v>
      </c>
      <c r="D78" s="2"/>
      <c r="E78" s="280">
        <f>'Enterprise Budget'!F77</f>
        <v>15.429739583333333</v>
      </c>
      <c r="F78" s="288" t="e">
        <f t="shared" si="12"/>
        <v>#DIV/0!</v>
      </c>
      <c r="G78" s="183" t="e">
        <f t="shared" si="10"/>
        <v>#DIV/0!</v>
      </c>
      <c r="H78" s="340"/>
      <c r="I78" s="204"/>
      <c r="J78" s="322">
        <f t="shared" si="13"/>
        <v>15.584036979166667</v>
      </c>
      <c r="K78" s="11">
        <f t="shared" si="14"/>
        <v>0.15429739583333379</v>
      </c>
    </row>
    <row r="79" spans="1:11">
      <c r="A79" s="62">
        <v>78</v>
      </c>
      <c r="B79" s="28"/>
      <c r="C79" s="15" t="s">
        <v>166</v>
      </c>
      <c r="D79" s="2"/>
      <c r="E79" s="280">
        <f>'Enterprise Budget'!F78</f>
        <v>16.227364583333333</v>
      </c>
      <c r="F79" s="288" t="e">
        <f t="shared" si="12"/>
        <v>#DIV/0!</v>
      </c>
      <c r="G79" s="183" t="e">
        <f t="shared" si="10"/>
        <v>#DIV/0!</v>
      </c>
      <c r="H79" s="340"/>
      <c r="I79" s="204"/>
      <c r="J79" s="322">
        <f t="shared" si="13"/>
        <v>16.389638229166668</v>
      </c>
      <c r="K79" s="11">
        <f t="shared" si="14"/>
        <v>0.16227364583333426</v>
      </c>
    </row>
    <row r="80" spans="1:11">
      <c r="A80" s="62">
        <v>79</v>
      </c>
      <c r="B80" s="28"/>
      <c r="C80" s="15" t="s">
        <v>164</v>
      </c>
      <c r="D80" s="2"/>
      <c r="E80" s="280">
        <f>'Enterprise Budget'!F79</f>
        <v>16.96486458333333</v>
      </c>
      <c r="F80" s="288" t="e">
        <f t="shared" si="12"/>
        <v>#DIV/0!</v>
      </c>
      <c r="G80" s="183" t="e">
        <f t="shared" si="10"/>
        <v>#DIV/0!</v>
      </c>
      <c r="H80" s="340"/>
      <c r="I80" s="204"/>
      <c r="J80" s="322">
        <f t="shared" si="13"/>
        <v>17.134513229166668</v>
      </c>
      <c r="K80" s="11">
        <f t="shared" si="14"/>
        <v>0.1696486458333375</v>
      </c>
    </row>
    <row r="81" spans="1:11">
      <c r="A81" s="62">
        <v>80</v>
      </c>
      <c r="B81" s="28"/>
      <c r="C81" s="15" t="s">
        <v>167</v>
      </c>
      <c r="D81" s="2"/>
      <c r="E81" s="280">
        <f>'Enterprise Budget'!F80</f>
        <v>16.96486458333333</v>
      </c>
      <c r="F81" s="288" t="e">
        <f t="shared" si="12"/>
        <v>#DIV/0!</v>
      </c>
      <c r="G81" s="11" t="e">
        <f t="shared" si="10"/>
        <v>#DIV/0!</v>
      </c>
      <c r="H81" s="340"/>
      <c r="I81" s="204"/>
      <c r="J81" s="322">
        <f t="shared" si="13"/>
        <v>17.134513229166668</v>
      </c>
      <c r="K81" s="11">
        <f t="shared" si="14"/>
        <v>0.1696486458333375</v>
      </c>
    </row>
    <row r="82" spans="1:11">
      <c r="A82" s="62">
        <v>81</v>
      </c>
      <c r="B82" s="159"/>
      <c r="C82" s="304"/>
      <c r="D82" s="304"/>
      <c r="E82" s="304"/>
      <c r="F82" s="305"/>
      <c r="G82" s="306"/>
      <c r="H82" s="204"/>
      <c r="I82" s="204"/>
      <c r="J82" s="321"/>
      <c r="K82" s="321"/>
    </row>
    <row r="83" spans="1:11" ht="29.15" customHeight="1">
      <c r="A83" s="62">
        <v>82</v>
      </c>
      <c r="B83" s="384" t="s">
        <v>36</v>
      </c>
      <c r="C83" s="385"/>
      <c r="D83" s="61" t="s">
        <v>34</v>
      </c>
      <c r="E83" s="296">
        <f>'Enterprise Budget'!F82</f>
        <v>262.23529411764707</v>
      </c>
      <c r="F83" s="289" t="e">
        <f>F23/F5</f>
        <v>#DIV/0!</v>
      </c>
      <c r="G83" s="290" t="e">
        <f t="shared" si="10"/>
        <v>#DIV/0!</v>
      </c>
      <c r="H83" s="346"/>
      <c r="I83" s="347"/>
      <c r="J83" s="296">
        <f>J23/J5</f>
        <v>262.23529411764707</v>
      </c>
      <c r="K83" s="349">
        <f t="shared" ref="K83:K89" si="15">J83-E83</f>
        <v>0</v>
      </c>
    </row>
    <row r="84" spans="1:11">
      <c r="A84" s="62">
        <v>83</v>
      </c>
      <c r="B84" s="28"/>
      <c r="C84" s="15" t="s">
        <v>162</v>
      </c>
      <c r="D84" s="12"/>
      <c r="E84" s="280">
        <f>'Enterprise Budget'!F83</f>
        <v>11.163638402871243</v>
      </c>
      <c r="F84" s="288" t="e">
        <f t="shared" ref="F84:F89" si="16">F68/F$83</f>
        <v>#DIV/0!</v>
      </c>
      <c r="G84" s="11" t="e">
        <f t="shared" si="10"/>
        <v>#DIV/0!</v>
      </c>
      <c r="H84" s="340"/>
      <c r="I84" s="204"/>
      <c r="J84" s="322">
        <f t="shared" ref="J84:J89" si="17">J68/J$83</f>
        <v>11.275274786899955</v>
      </c>
      <c r="K84" s="11">
        <f t="shared" si="15"/>
        <v>0.11163638402871179</v>
      </c>
    </row>
    <row r="85" spans="1:11">
      <c r="A85" s="62">
        <v>84</v>
      </c>
      <c r="B85" s="28"/>
      <c r="C85" s="15" t="s">
        <v>163</v>
      </c>
      <c r="D85" s="12"/>
      <c r="E85" s="280">
        <f>'Enterprise Budget'!F84</f>
        <v>13.794863167339614</v>
      </c>
      <c r="F85" s="288" t="e">
        <f t="shared" si="16"/>
        <v>#DIV/0!</v>
      </c>
      <c r="G85" s="11" t="e">
        <f t="shared" si="10"/>
        <v>#DIV/0!</v>
      </c>
      <c r="H85" s="340"/>
      <c r="I85" s="204"/>
      <c r="J85" s="322">
        <f t="shared" si="17"/>
        <v>13.93281179901301</v>
      </c>
      <c r="K85" s="11">
        <f t="shared" si="15"/>
        <v>0.13794863167339599</v>
      </c>
    </row>
    <row r="86" spans="1:11">
      <c r="A86" s="62">
        <v>85</v>
      </c>
      <c r="B86" s="28"/>
      <c r="C86" s="15" t="s">
        <v>165</v>
      </c>
      <c r="D86" s="12"/>
      <c r="E86" s="280">
        <f>'Enterprise Budget'!F85</f>
        <v>14.12143057424854</v>
      </c>
      <c r="F86" s="288" t="e">
        <f t="shared" si="16"/>
        <v>#DIV/0!</v>
      </c>
      <c r="G86" s="11" t="e">
        <f t="shared" si="10"/>
        <v>#DIV/0!</v>
      </c>
      <c r="H86" s="340"/>
      <c r="I86" s="204"/>
      <c r="J86" s="322">
        <f t="shared" si="17"/>
        <v>14.262644879991027</v>
      </c>
      <c r="K86" s="11">
        <f t="shared" si="15"/>
        <v>0.14121430574248706</v>
      </c>
    </row>
    <row r="87" spans="1:11">
      <c r="A87" s="62">
        <v>86</v>
      </c>
      <c r="B87" s="28"/>
      <c r="C87" s="15" t="s">
        <v>166</v>
      </c>
      <c r="D87" s="12"/>
      <c r="E87" s="280">
        <f>'Enterprise Budget'!F86</f>
        <v>14.851423844773439</v>
      </c>
      <c r="F87" s="288" t="e">
        <f t="shared" si="16"/>
        <v>#DIV/0!</v>
      </c>
      <c r="G87" s="11" t="e">
        <f t="shared" si="10"/>
        <v>#DIV/0!</v>
      </c>
      <c r="H87" s="340"/>
      <c r="I87" s="204"/>
      <c r="J87" s="322">
        <f t="shared" si="17"/>
        <v>14.999938083221174</v>
      </c>
      <c r="K87" s="11">
        <f t="shared" si="15"/>
        <v>0.14851423844773493</v>
      </c>
    </row>
    <row r="88" spans="1:11">
      <c r="A88" s="62">
        <v>87</v>
      </c>
      <c r="B88" s="28"/>
      <c r="C88" s="15" t="s">
        <v>164</v>
      </c>
      <c r="D88" s="12"/>
      <c r="E88" s="280">
        <f>'Enterprise Budget'!F87</f>
        <v>15.526390197397934</v>
      </c>
      <c r="F88" s="288" t="e">
        <f t="shared" si="16"/>
        <v>#DIV/0!</v>
      </c>
      <c r="G88" s="11" t="e">
        <f t="shared" si="10"/>
        <v>#DIV/0!</v>
      </c>
      <c r="H88" s="340"/>
      <c r="I88" s="204"/>
      <c r="J88" s="322">
        <f t="shared" si="17"/>
        <v>15.681654099371917</v>
      </c>
      <c r="K88" s="11">
        <f t="shared" si="15"/>
        <v>0.15526390197398321</v>
      </c>
    </row>
    <row r="89" spans="1:11" ht="15" thickBot="1">
      <c r="A89" s="62">
        <v>88</v>
      </c>
      <c r="B89" s="31"/>
      <c r="C89" s="15" t="s">
        <v>167</v>
      </c>
      <c r="D89" s="12"/>
      <c r="E89" s="280">
        <f>'Enterprise Budget'!F88</f>
        <v>15.526390197397934</v>
      </c>
      <c r="F89" s="288" t="e">
        <f t="shared" si="16"/>
        <v>#DIV/0!</v>
      </c>
      <c r="G89" s="11" t="e">
        <f t="shared" si="10"/>
        <v>#DIV/0!</v>
      </c>
      <c r="H89" s="340"/>
      <c r="I89" s="204"/>
      <c r="J89" s="322">
        <f t="shared" si="17"/>
        <v>15.681654099371917</v>
      </c>
      <c r="K89" s="11">
        <f t="shared" si="15"/>
        <v>0.15526390197398321</v>
      </c>
    </row>
    <row r="90" spans="1:11" ht="15" thickBot="1">
      <c r="A90" s="62">
        <v>89</v>
      </c>
      <c r="B90" s="168"/>
      <c r="C90" s="301"/>
      <c r="D90" s="301"/>
      <c r="E90" s="301"/>
      <c r="F90" s="302"/>
      <c r="G90" s="303"/>
      <c r="H90" s="204"/>
      <c r="I90" s="204"/>
      <c r="J90" s="301"/>
      <c r="K90" s="301"/>
    </row>
    <row r="91" spans="1:11">
      <c r="A91" s="62">
        <v>90</v>
      </c>
      <c r="B91" s="63" t="s">
        <v>43</v>
      </c>
      <c r="C91" s="64"/>
      <c r="D91" s="65"/>
      <c r="E91" s="281"/>
      <c r="F91" s="299"/>
      <c r="G91" s="300"/>
      <c r="H91" s="340"/>
      <c r="I91" s="204"/>
      <c r="J91" s="323"/>
      <c r="K91" s="300"/>
    </row>
    <row r="92" spans="1:11">
      <c r="A92" s="62">
        <v>91</v>
      </c>
      <c r="B92" s="67"/>
      <c r="C92" s="68" t="s">
        <v>39</v>
      </c>
      <c r="D92" s="2"/>
      <c r="E92" s="280">
        <f>'Enterprise Budget'!F91</f>
        <v>16.96486458333333</v>
      </c>
      <c r="F92" s="288" t="e">
        <f t="shared" ref="F92" si="18">F81</f>
        <v>#DIV/0!</v>
      </c>
      <c r="G92" s="11" t="e">
        <f t="shared" si="10"/>
        <v>#DIV/0!</v>
      </c>
      <c r="H92" s="340"/>
      <c r="I92" s="204"/>
      <c r="J92" s="322">
        <f t="shared" ref="J92" si="19">J81</f>
        <v>17.134513229166668</v>
      </c>
      <c r="K92" s="11">
        <f>J92-E92</f>
        <v>0.1696486458333375</v>
      </c>
    </row>
    <row r="93" spans="1:11">
      <c r="A93" s="62">
        <v>92</v>
      </c>
      <c r="B93" s="67"/>
      <c r="C93" s="68" t="s">
        <v>34</v>
      </c>
      <c r="D93" s="2"/>
      <c r="E93" s="280">
        <f>'Enterprise Budget'!F92</f>
        <v>15.526390197397934</v>
      </c>
      <c r="F93" s="288" t="e">
        <f t="shared" ref="F93" si="20">F89</f>
        <v>#DIV/0!</v>
      </c>
      <c r="G93" s="11" t="e">
        <f t="shared" si="10"/>
        <v>#DIV/0!</v>
      </c>
      <c r="H93" s="340"/>
      <c r="I93" s="204"/>
      <c r="J93" s="322">
        <f t="shared" ref="J93" si="21">J89</f>
        <v>15.681654099371917</v>
      </c>
      <c r="K93" s="11">
        <f>J93-E93</f>
        <v>0.15526390197398321</v>
      </c>
    </row>
    <row r="94" spans="1:11" ht="15" thickBot="1">
      <c r="A94" s="62">
        <v>93</v>
      </c>
      <c r="B94" s="23"/>
      <c r="C94" s="69" t="s">
        <v>38</v>
      </c>
      <c r="D94" s="32"/>
      <c r="E94" s="282">
        <f>'Enterprise Budget'!F93</f>
        <v>16.96486458333333</v>
      </c>
      <c r="F94" s="288" t="e">
        <f>((F44+F60)-F22)/(F3/100)</f>
        <v>#DIV/0!</v>
      </c>
      <c r="G94" s="11" t="e">
        <f t="shared" si="10"/>
        <v>#DIV/0!</v>
      </c>
      <c r="H94" s="340"/>
      <c r="I94" s="204"/>
      <c r="J94" s="324">
        <f>((J44+J60)-J22)/(J3/100)</f>
        <v>17.134513229166668</v>
      </c>
      <c r="K94" s="24">
        <f>J94-E94</f>
        <v>0.1696486458333375</v>
      </c>
    </row>
    <row r="95" spans="1:11">
      <c r="H95" s="195"/>
      <c r="I95" s="195"/>
      <c r="J95" s="353"/>
      <c r="K95" s="353"/>
    </row>
    <row r="96" spans="1:11">
      <c r="C96" s="116"/>
      <c r="D96" s="116"/>
      <c r="E96" s="116"/>
      <c r="F96" s="116"/>
      <c r="G96" s="116"/>
      <c r="H96" s="195"/>
      <c r="I96" s="195"/>
    </row>
    <row r="97" spans="3:9">
      <c r="C97" s="116"/>
      <c r="D97" s="116"/>
      <c r="E97" s="116"/>
      <c r="F97" s="116"/>
      <c r="G97" s="116"/>
      <c r="H97" s="116"/>
      <c r="I97" s="116"/>
    </row>
    <row r="98" spans="3:9">
      <c r="C98" s="116"/>
      <c r="D98" s="116"/>
      <c r="E98" s="116"/>
      <c r="F98" s="116"/>
      <c r="G98" s="116"/>
      <c r="H98" s="116"/>
      <c r="I98" s="116"/>
    </row>
    <row r="99" spans="3:9">
      <c r="C99" s="116"/>
      <c r="D99" s="116"/>
      <c r="E99" s="116"/>
      <c r="F99" s="116"/>
      <c r="G99" s="116"/>
      <c r="H99" s="116"/>
      <c r="I99" s="116"/>
    </row>
    <row r="100" spans="3:9">
      <c r="C100" s="116"/>
      <c r="D100" s="116"/>
      <c r="E100" s="116"/>
      <c r="F100" s="116"/>
      <c r="G100" s="116"/>
      <c r="H100" s="116"/>
      <c r="I100" s="116"/>
    </row>
    <row r="101" spans="3:9">
      <c r="C101" s="116"/>
      <c r="D101" s="116"/>
      <c r="E101" s="116"/>
      <c r="F101" s="116"/>
      <c r="G101" s="116"/>
      <c r="H101" s="116"/>
      <c r="I101" s="116"/>
    </row>
    <row r="102" spans="3:9">
      <c r="C102" s="116"/>
      <c r="D102" s="116"/>
      <c r="E102" s="116"/>
      <c r="F102" s="116"/>
      <c r="G102" s="116"/>
      <c r="H102" s="116"/>
      <c r="I102" s="116"/>
    </row>
    <row r="103" spans="3:9">
      <c r="C103" s="116"/>
      <c r="D103" s="116"/>
      <c r="E103" s="116"/>
      <c r="F103" s="116"/>
      <c r="G103" s="116"/>
      <c r="H103" s="116"/>
      <c r="I103" s="116"/>
    </row>
  </sheetData>
  <mergeCells count="3">
    <mergeCell ref="B1:G1"/>
    <mergeCell ref="I1:K1"/>
    <mergeCell ref="B83:C8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Enterprise Budget</vt:lpstr>
      <vt:lpstr>Mach and Bldg Cost calculator</vt:lpstr>
      <vt:lpstr>Feed Costs Calculator</vt:lpstr>
      <vt:lpstr>Note on Feed Costs</vt:lpstr>
      <vt:lpstr>Sensitivity 1</vt:lpstr>
      <vt:lpstr>Sensitivity 2</vt:lpstr>
    </vt:vector>
  </TitlesOfParts>
  <Company>University of Wisconsin-Platteville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J Bernhardt</dc:creator>
  <cp:lastModifiedBy>Kevin J Bernhardt</cp:lastModifiedBy>
  <cp:lastPrinted>2019-01-31T19:21:11Z</cp:lastPrinted>
  <dcterms:created xsi:type="dcterms:W3CDTF">2018-10-03T13:49:28Z</dcterms:created>
  <dcterms:modified xsi:type="dcterms:W3CDTF">2019-02-01T14:10:32Z</dcterms:modified>
</cp:coreProperties>
</file>