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FES\Deans Office\CAFES Communications\Dept_PES\Forages - Yoana Newman\"/>
    </mc:Choice>
  </mc:AlternateContent>
  <xr:revisionPtr revIDLastSave="0" documentId="8_{085CFFBD-ADBA-44EF-B9BE-65C96A27C124}" xr6:coauthVersionLast="36" xr6:coauthVersionMax="36" xr10:uidLastSave="{00000000-0000-0000-0000-000000000000}"/>
  <bookViews>
    <workbookView xWindow="1200" yWindow="300" windowWidth="19290" windowHeight="10620" tabRatio="861" xr2:uid="{00000000-000D-0000-FFFF-FFFF00000000}"/>
  </bookViews>
  <sheets>
    <sheet name="English Units" sheetId="1" r:id="rId1"/>
    <sheet name="English (Metric Units)" sheetId="3" r:id="rId2"/>
    <sheet name=" Espanol (English Units)" sheetId="5" r:id="rId3"/>
    <sheet name="Espanol - (unidades métricas)" sheetId="4" r:id="rId4"/>
    <sheet name="Russian" sheetId="6" r:id="rId5"/>
    <sheet name=" Welsh (Unedau Metrig-Cymraeg)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7" l="1"/>
  <c r="I22" i="7"/>
  <c r="I21" i="7"/>
  <c r="I20" i="7"/>
  <c r="I19" i="7"/>
  <c r="G10" i="4"/>
  <c r="F14" i="5"/>
  <c r="F14" i="3"/>
  <c r="F14" i="1"/>
  <c r="A37" i="6"/>
  <c r="F14" i="6"/>
  <c r="F16" i="6"/>
  <c r="I22" i="6"/>
  <c r="I21" i="6"/>
  <c r="I20" i="6"/>
  <c r="I19" i="6"/>
  <c r="F16" i="5" l="1"/>
  <c r="I22" i="5"/>
  <c r="I21" i="5"/>
  <c r="I20" i="5"/>
  <c r="I19" i="5"/>
  <c r="A37" i="5"/>
  <c r="B32" i="4"/>
  <c r="A37" i="1" l="1"/>
  <c r="F34" i="7" l="1"/>
  <c r="F28" i="7"/>
  <c r="F24" i="7"/>
  <c r="F23" i="7"/>
  <c r="G22" i="7"/>
  <c r="N33" i="7"/>
  <c r="G21" i="7"/>
  <c r="G20" i="7"/>
  <c r="G19" i="7"/>
  <c r="K30" i="7"/>
  <c r="F16" i="7"/>
  <c r="K13" i="7"/>
  <c r="J11" i="7"/>
  <c r="G19" i="6"/>
  <c r="K32" i="6"/>
  <c r="G20" i="6"/>
  <c r="L32" i="6"/>
  <c r="G21" i="6"/>
  <c r="M32" i="6"/>
  <c r="G22" i="6"/>
  <c r="N32" i="6"/>
  <c r="L33" i="6"/>
  <c r="M33" i="6"/>
  <c r="N33" i="6"/>
  <c r="K34" i="6"/>
  <c r="M34" i="6"/>
  <c r="N34" i="6"/>
  <c r="K35" i="6"/>
  <c r="L35" i="6"/>
  <c r="M35" i="6"/>
  <c r="N35" i="6"/>
  <c r="F28" i="6"/>
  <c r="F24" i="6"/>
  <c r="J37" i="6"/>
  <c r="F36" i="6"/>
  <c r="F35" i="6"/>
  <c r="F29" i="6"/>
  <c r="F30" i="6"/>
  <c r="F32" i="6"/>
  <c r="F23" i="6"/>
  <c r="K14" i="6"/>
  <c r="J12" i="6"/>
  <c r="F36" i="5"/>
  <c r="G19" i="5"/>
  <c r="K32" i="5"/>
  <c r="G20" i="5"/>
  <c r="L32" i="5"/>
  <c r="G21" i="5"/>
  <c r="M32" i="5"/>
  <c r="G22" i="5"/>
  <c r="N32" i="5"/>
  <c r="L33" i="5"/>
  <c r="M33" i="5"/>
  <c r="N33" i="5"/>
  <c r="K34" i="5"/>
  <c r="M34" i="5"/>
  <c r="N34" i="5"/>
  <c r="K35" i="5"/>
  <c r="L35" i="5"/>
  <c r="M35" i="5"/>
  <c r="N35" i="5"/>
  <c r="F28" i="5"/>
  <c r="F24" i="5"/>
  <c r="J37" i="5"/>
  <c r="F35" i="5"/>
  <c r="A43" i="5"/>
  <c r="F29" i="5"/>
  <c r="F30" i="5"/>
  <c r="F32" i="5"/>
  <c r="F23" i="5"/>
  <c r="J14" i="5"/>
  <c r="I12" i="5"/>
  <c r="G19" i="1"/>
  <c r="K32" i="1"/>
  <c r="G20" i="1"/>
  <c r="G21" i="1"/>
  <c r="M33" i="1"/>
  <c r="G22" i="1"/>
  <c r="N34" i="1"/>
  <c r="N35" i="1"/>
  <c r="L33" i="1"/>
  <c r="N33" i="1"/>
  <c r="M34" i="1"/>
  <c r="K35" i="1"/>
  <c r="M35" i="1"/>
  <c r="F24" i="1"/>
  <c r="F36" i="1"/>
  <c r="F30" i="1"/>
  <c r="F23" i="1"/>
  <c r="I12" i="1"/>
  <c r="J14" i="1"/>
  <c r="F16" i="1"/>
  <c r="I22" i="1"/>
  <c r="I21" i="1"/>
  <c r="I20" i="1"/>
  <c r="I19" i="1"/>
  <c r="C23" i="4"/>
  <c r="E14" i="4"/>
  <c r="E13" i="4"/>
  <c r="L26" i="4"/>
  <c r="E15" i="4"/>
  <c r="M27" i="4"/>
  <c r="E16" i="4"/>
  <c r="L29" i="4"/>
  <c r="L27" i="4"/>
  <c r="N27" i="4"/>
  <c r="K26" i="4"/>
  <c r="M28" i="4"/>
  <c r="K29" i="4"/>
  <c r="N29" i="4"/>
  <c r="C19" i="4"/>
  <c r="C31" i="4"/>
  <c r="J11" i="4"/>
  <c r="H11" i="4"/>
  <c r="G16" i="4"/>
  <c r="G15" i="4"/>
  <c r="G14" i="4"/>
  <c r="G13" i="4"/>
  <c r="G11" i="4"/>
  <c r="C18" i="4"/>
  <c r="F30" i="3"/>
  <c r="F24" i="3"/>
  <c r="G19" i="3"/>
  <c r="K32" i="3"/>
  <c r="G20" i="3"/>
  <c r="L32" i="3"/>
  <c r="G21" i="3"/>
  <c r="M32" i="3"/>
  <c r="G22" i="3"/>
  <c r="N32" i="3"/>
  <c r="L33" i="3"/>
  <c r="M33" i="3"/>
  <c r="N33" i="3"/>
  <c r="K34" i="3"/>
  <c r="M34" i="3"/>
  <c r="N34" i="3"/>
  <c r="K35" i="3"/>
  <c r="L35" i="3"/>
  <c r="M35" i="3"/>
  <c r="N35" i="3"/>
  <c r="F28" i="3"/>
  <c r="J37" i="3"/>
  <c r="F36" i="3"/>
  <c r="F35" i="3"/>
  <c r="K14" i="3"/>
  <c r="J12" i="3"/>
  <c r="I21" i="3"/>
  <c r="I20" i="3"/>
  <c r="F23" i="3"/>
  <c r="F16" i="3"/>
  <c r="I22" i="3"/>
  <c r="I19" i="3"/>
  <c r="F29" i="3"/>
  <c r="F32" i="3"/>
  <c r="A37" i="3"/>
  <c r="M29" i="4"/>
  <c r="N28" i="4"/>
  <c r="K28" i="4"/>
  <c r="N26" i="4"/>
  <c r="M26" i="4"/>
  <c r="C21" i="4"/>
  <c r="J37" i="4"/>
  <c r="C30" i="4"/>
  <c r="C22" i="4"/>
  <c r="C25" i="4"/>
  <c r="L35" i="1"/>
  <c r="K34" i="1"/>
  <c r="N32" i="1"/>
  <c r="M32" i="1"/>
  <c r="L32" i="1"/>
  <c r="F28" i="1"/>
  <c r="J37" i="1"/>
  <c r="F35" i="1"/>
  <c r="F29" i="1"/>
  <c r="F32" i="1"/>
  <c r="A43" i="1"/>
  <c r="L31" i="7"/>
  <c r="N32" i="7"/>
  <c r="M32" i="7"/>
  <c r="M31" i="7"/>
  <c r="N31" i="7"/>
  <c r="L33" i="7"/>
  <c r="K33" i="7"/>
  <c r="M30" i="7"/>
  <c r="M33" i="7"/>
  <c r="K32" i="7"/>
  <c r="N30" i="7"/>
  <c r="L30" i="7"/>
  <c r="F26" i="7"/>
  <c r="J35" i="7"/>
  <c r="F33" i="7"/>
  <c r="F27" i="7"/>
  <c r="F30" i="7"/>
  <c r="A35" i="7"/>
</calcChain>
</file>

<file path=xl/sharedStrings.xml><?xml version="1.0" encoding="utf-8"?>
<sst xmlns="http://schemas.openxmlformats.org/spreadsheetml/2006/main" count="257" uniqueCount="207">
  <si>
    <t>University of Wisconsin-Madison</t>
  </si>
  <si>
    <t>Silage Packing Layer Thickness (inches) =</t>
  </si>
  <si>
    <t>Tractor # 1</t>
  </si>
  <si>
    <t>Tractor # 2</t>
  </si>
  <si>
    <t>Tractor # 3</t>
  </si>
  <si>
    <t>Tractor # 4</t>
  </si>
  <si>
    <t>Packing Factor =</t>
  </si>
  <si>
    <t>Bunker Silo Maximum Silage Height (feet) =</t>
  </si>
  <si>
    <t>Average Silage Height (feet) =</t>
  </si>
  <si>
    <t>Values in yellow cells are user changeable</t>
  </si>
  <si>
    <t>Values in pink cells are results of calculations</t>
  </si>
  <si>
    <t>Packing Tractor  - Each Tractor</t>
  </si>
  <si>
    <t>Brian Holmes(1) and Richard Muck(2)</t>
  </si>
  <si>
    <t>Tractor Packing Time (% of Filling Time)</t>
  </si>
  <si>
    <t>Green cells are intermediate calculated values</t>
  </si>
  <si>
    <t>Est. Average Dry Matter Density (lbs DM/cu ft) =</t>
  </si>
  <si>
    <t>Bunker Silo Maximum Silage Height (meters) =</t>
  </si>
  <si>
    <t>Average Silage Height (meters) =</t>
  </si>
  <si>
    <t>Est. Average Dry Matter Density (Kg DM/cu m) =</t>
  </si>
  <si>
    <t>Silage Packing Layer Thickness (cm) =</t>
  </si>
  <si>
    <t xml:space="preserve">     Spreadsheet to Calculate Average</t>
  </si>
  <si>
    <t xml:space="preserve">     Silage Density in a Bunker Silo(Metric Units)</t>
  </si>
  <si>
    <t xml:space="preserve">     Silage Density in a Bunker Silo(English Units)</t>
  </si>
  <si>
    <t>Silage Dry Matter Content (decimal ie 0.35) =</t>
  </si>
  <si>
    <t>Silage Delivery Rate to Bunker (T AF/Hr) =</t>
  </si>
  <si>
    <t>Silage Delivery Rate to Bunker (tonne AF/Hr) =</t>
  </si>
  <si>
    <t>Recommended range of DM content = 0.3-0.4</t>
  </si>
  <si>
    <t>Typical values 15-200 T AF/hr</t>
  </si>
  <si>
    <t>Typical values 15-200 t AF/hr</t>
  </si>
  <si>
    <t>(2) US Dairy Forage Research Center</t>
  </si>
  <si>
    <t>(1) Biological Systems Engineering Dept. and</t>
  </si>
  <si>
    <t>Proportioned Total Tractor Weight (Kg) =</t>
  </si>
  <si>
    <t>Proportioned Total Tractor Weight (lbs) =</t>
  </si>
  <si>
    <t>Maximum Achievable DM Density (lbs DM/cu ft)=</t>
  </si>
  <si>
    <t>Maximum Achievable DM Density (Kg DM/cu m)=</t>
  </si>
  <si>
    <t>Typical tractor weight is 10,000-60,000 lbs</t>
  </si>
  <si>
    <t>Recommended value is 15.24 cm or less</t>
  </si>
  <si>
    <t>Recommended value is 6 inches or less</t>
  </si>
  <si>
    <t>=====================================================================================</t>
  </si>
  <si>
    <t>=======================================================================================</t>
  </si>
  <si>
    <t>Typical tractor weight is 4,500-27,000 Kg</t>
  </si>
  <si>
    <t>Datos a Ingresar</t>
  </si>
  <si>
    <t>Silo</t>
  </si>
  <si>
    <t>Altura del Muro (metros) =</t>
  </si>
  <si>
    <t>Cero para silos en montículo</t>
  </si>
  <si>
    <t>Altura Máxima del Silo (metros) =</t>
  </si>
  <si>
    <t>Tasa de Llenado (toneladas de forraje por hora) =</t>
  </si>
  <si>
    <t>Rango típico 15 a 200</t>
  </si>
  <si>
    <t>Contenido de MS del Forraje, (en decimales) =</t>
  </si>
  <si>
    <t>Rango recomendado 0.30 a 0.40</t>
  </si>
  <si>
    <t>Espesor de la Capa de Forraje (cm) =</t>
  </si>
  <si>
    <t>Espesor recomendado 15 cm o menos</t>
  </si>
  <si>
    <t>Maquinaria</t>
  </si>
  <si>
    <t>Peso (kg)</t>
  </si>
  <si>
    <t>Tiempo sobre el forraje (%)</t>
  </si>
  <si>
    <t>Cálculos</t>
  </si>
  <si>
    <t>Peso total ponderado (kg) =</t>
  </si>
  <si>
    <t>Intermedios</t>
  </si>
  <si>
    <t>Altura Promedio del Silo (metros) =</t>
  </si>
  <si>
    <t>Resultados</t>
  </si>
  <si>
    <t>Factor  de Compactación =</t>
  </si>
  <si>
    <r>
      <t xml:space="preserve">Hoja de Cálculo para Estimar la Densidad Promedio en Silos Horizontales </t>
    </r>
    <r>
      <rPr>
        <i/>
        <sz val="10"/>
        <color indexed="12"/>
        <rFont val="Trebuchet MS"/>
        <family val="2"/>
      </rPr>
      <t>(unidades métricas)</t>
    </r>
  </si>
  <si>
    <r>
      <t>Brian Holmes,</t>
    </r>
    <r>
      <rPr>
        <sz val="12"/>
        <color indexed="57"/>
        <rFont val="Trebuchet MS"/>
        <family val="2"/>
      </rPr>
      <t xml:space="preserve"> Depto. de Ingeniería de Sistemas Biológicos y </t>
    </r>
  </si>
  <si>
    <t>Bunker Silo Wall Height (feet)   =</t>
  </si>
  <si>
    <t>Bunker Silo Wall Height (meters)  =</t>
  </si>
  <si>
    <r>
      <t>Richard Muck,</t>
    </r>
    <r>
      <rPr>
        <sz val="12"/>
        <color indexed="57"/>
        <rFont val="Trebuchet MS"/>
        <family val="2"/>
      </rPr>
      <t xml:space="preserve"> Centro de Investigacion en Forrajes para Ganado Lechero de los Estados Unidos </t>
    </r>
  </si>
  <si>
    <t>-----------------------------------------------------------------------------------------------------------------------------------------------------------</t>
  </si>
  <si>
    <t>Row Number</t>
  </si>
  <si>
    <t>Est. Average Wet Density = Bulk Density (lbs AF/cu ft) =</t>
  </si>
  <si>
    <t>Maximum Achievable Bulk Density (lbs AF/cu ft)=</t>
  </si>
  <si>
    <t>Density greater than 15 lbs DM/cu ft is recommended</t>
  </si>
  <si>
    <t xml:space="preserve">Packing Factor </t>
  </si>
  <si>
    <t>DM Density</t>
  </si>
  <si>
    <t>Wet Density greater than 44 lbs AF/cu ft is recommended</t>
  </si>
  <si>
    <t>DM Density greater than Max. Achievable is unrealistic</t>
  </si>
  <si>
    <t>Wet Density greater than Max. Wet Density is unrealistic</t>
  </si>
  <si>
    <t>Gas Filled Porosity =</t>
  </si>
  <si>
    <t>Gas Filled Porosity less than 0.40 is recommended</t>
  </si>
  <si>
    <t>Dry Matter Density greater than 240 Kg DM/cu m is recommended</t>
  </si>
  <si>
    <t>Est. Average Wet Density = Bulk Density (kg AF/cu m) =</t>
  </si>
  <si>
    <t>Maximum Achievable Bulk Density (kg AF/cu m)=</t>
  </si>
  <si>
    <t>Wet Density greater than 705 kg AF/cu m is recommended</t>
  </si>
  <si>
    <r>
      <t>Objetivo Recomendado: mayor a 240 kg MS por m</t>
    </r>
    <r>
      <rPr>
        <vertAlign val="superscript"/>
        <sz val="10"/>
        <color indexed="10"/>
        <rFont val="Trebuchet MS"/>
        <family val="2"/>
      </rPr>
      <t>3</t>
    </r>
  </si>
  <si>
    <t>Densidad mayor a Densidad Maxima de MS Alcanzable es irreal</t>
  </si>
  <si>
    <t>Se recomienda una porosidad de llenado de gas menor a 0.40</t>
  </si>
  <si>
    <t>Se recomienda una densidad humeda mayor de 705 kg AF/ m cubico</t>
  </si>
  <si>
    <t>Una densidad humeda mayor que la maxima densidad humeda no es real</t>
  </si>
  <si>
    <r>
      <t>Densidad Estimada Promedio</t>
    </r>
    <r>
      <rPr>
        <b/>
        <sz val="12"/>
        <rFont val="Arial"/>
        <family val="2"/>
      </rPr>
      <t xml:space="preserve"> (Promedio Estimado de Densidad) de MS (kg MS por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=</t>
    </r>
  </si>
  <si>
    <r>
      <t>Densidad Maxima de MS Alcanzable</t>
    </r>
    <r>
      <rPr>
        <b/>
        <sz val="12"/>
        <rFont val="Arial"/>
        <family val="2"/>
      </rPr>
      <t xml:space="preserve"> (Máxima Densidad de MS Alcanzable) (kg MS por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=</t>
    </r>
  </si>
  <si>
    <t>Peso típico rango de 4,500 - 27,000 kg</t>
  </si>
  <si>
    <r>
      <t xml:space="preserve">Universidad de Wisconsin - Madison </t>
    </r>
    <r>
      <rPr>
        <sz val="12"/>
        <color indexed="10"/>
        <rFont val="Trebuchet MS"/>
        <family val="2"/>
      </rPr>
      <t>(23 de Agosto del 2007)</t>
    </r>
  </si>
  <si>
    <r>
      <t>Densidad humeda promedio estimada= Densidad en volumen (kg AF/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=</t>
    </r>
  </si>
  <si>
    <t>Maxima densidad en volumen alcanzable (kg AF/ metro cubico) =</t>
  </si>
  <si>
    <t xml:space="preserve">                                                                  Porosidad de llenado de gas =</t>
  </si>
  <si>
    <t xml:space="preserve">     Hoja de calculo para calcular la densidad promedio  </t>
  </si>
  <si>
    <t xml:space="preserve">     del ensilado en un silo bunker (unidades inglesas)</t>
  </si>
  <si>
    <t>Altura de la pared del silo bunker (pies)  =</t>
  </si>
  <si>
    <t>Altura máxima del ensilado del silo bunker (pies)=</t>
  </si>
  <si>
    <t>Los valores en celdas amarillas son cambiables por el usuario</t>
  </si>
  <si>
    <t>Tasa de llenado de ensilado en el bunker (T AF/Hr) =</t>
  </si>
  <si>
    <t>Valores típicos 15-200 T AF/hr</t>
  </si>
  <si>
    <t>Contenido de materia seca del ensilado (decimal ie 0.35) =</t>
  </si>
  <si>
    <t>Rango recomendado de MS = 0.3-0.4</t>
  </si>
  <si>
    <t>Espesor de la capa de compactación del ensilado (pulgadas) =</t>
  </si>
  <si>
    <t>El valor recomendado es de 6 pulgadas o menos</t>
  </si>
  <si>
    <t>Tractor compactador  - Cada Tractor</t>
  </si>
  <si>
    <t>Tiempo de compactado con tractor (% del tiempo de llenado)</t>
  </si>
  <si>
    <t>El peso típico del tractor es 10,000-60,000 lbs</t>
  </si>
  <si>
    <t>Peso total proporcional del tractor (lbs) =</t>
  </si>
  <si>
    <t>Altura promedio del ensilado (pies) =</t>
  </si>
  <si>
    <t>Las celdas verdes son valores intermedios calculados</t>
  </si>
  <si>
    <t xml:space="preserve"> Factor de compactación =</t>
  </si>
  <si>
    <t>Los valores en rosa son resultados de cálculos</t>
  </si>
  <si>
    <t>Densidad húmeda promedio estimada = Densidad bruta (lbs AF/pies cub) =</t>
  </si>
  <si>
    <t>Se recomienda una densidad húmeda superior a las 44 lbs AF/pies cub</t>
  </si>
  <si>
    <t>Densidad bruta máxima alcanzable (lbs AF/pies cub)=</t>
  </si>
  <si>
    <t>Una densidad húmeda superior a la Densidad Húmeda Máxima no es realista</t>
  </si>
  <si>
    <t>Porosidad llena de gas =</t>
  </si>
  <si>
    <t>Se recomienda una porosidad llena de gas menor a  0.40</t>
  </si>
  <si>
    <t>Densidad promedio estimada de materia seca  (lbs MS/pies cub) =</t>
  </si>
  <si>
    <t>Se recomienda una densidad mayor a las 15 lbs MS/pies cub.</t>
  </si>
  <si>
    <t>Densidad máxima de MS alcanzable (lbs MS/pies cub)=</t>
  </si>
  <si>
    <t>Una densidad de la MS superior a la Máxima alcanzable no es realista</t>
  </si>
  <si>
    <t xml:space="preserve">     Таблица для расчета средней </t>
  </si>
  <si>
    <t xml:space="preserve">     плотности силоса в силосной яме</t>
  </si>
  <si>
    <t>Браен Холмс (1) и Ричард Мак (2)</t>
  </si>
  <si>
    <t>(1) Факультет моделирования биологических систем и</t>
  </si>
  <si>
    <t xml:space="preserve">(2) Исследовательский центр США по кормам для КРС </t>
  </si>
  <si>
    <t xml:space="preserve">Университет Висконсина, Медисон </t>
  </si>
  <si>
    <t>Высота стенки силосной ямы (м)  =</t>
  </si>
  <si>
    <t>Максимальная высота силосной массы в силосной яме (м) =</t>
  </si>
  <si>
    <t>Значения в желтых ячейках изменяются пользователем</t>
  </si>
  <si>
    <t>Скорость загрузки силоса в яму (тонн/ час) =</t>
  </si>
  <si>
    <t>Типичные значения  15-200 т/ час</t>
  </si>
  <si>
    <t>Содержание СВ в силосе (десятичная дробь, т.е. 0.35) =</t>
  </si>
  <si>
    <t>Рекомендуемое содержание СВ = 0.3-0.4</t>
  </si>
  <si>
    <t>Толщина трамбуемого слоя силоса (см) =</t>
  </si>
  <si>
    <t>Рекомендуемое значение 15.24 и менее см.</t>
  </si>
  <si>
    <t xml:space="preserve">Трамбующий трактор  -каждый трактор </t>
  </si>
  <si>
    <t>Время утрамбовки трактором (% от времени заполнения)</t>
  </si>
  <si>
    <t>Трактор № 1</t>
  </si>
  <si>
    <t>типичный вес трактора 4,500-27,000 кг</t>
  </si>
  <si>
    <t>Трактор №  2</t>
  </si>
  <si>
    <t>Трактор № 3</t>
  </si>
  <si>
    <t>Трактор №  4</t>
  </si>
  <si>
    <t>Пропорциональный общий вес трактора (кг) =</t>
  </si>
  <si>
    <t>Средняя высота силоса (м) =</t>
  </si>
  <si>
    <t xml:space="preserve">В зеленых ячейка промежуточные результаты расчетов </t>
  </si>
  <si>
    <t>Коэффициент утрамбовки  =</t>
  </si>
  <si>
    <t xml:space="preserve">В розовых ячейках результаты расчетов </t>
  </si>
  <si>
    <t>Расчетная плотность влажного силоса = насыпная плотность (кг/ м3) =</t>
  </si>
  <si>
    <t>Рекомендуется плотность влажнгого силоса более 705 кг/ м3</t>
  </si>
  <si>
    <t>Максимальная достижимая насыпная плотность (кг/м3)=</t>
  </si>
  <si>
    <t xml:space="preserve">Плотности влажного силоса выше Макс.плотности влаж.силоса достичь нереалистично </t>
  </si>
  <si>
    <t>Газонасыщенная пористость =</t>
  </si>
  <si>
    <t>Рекомендуется газонасыщенная пористоть менее 0.40</t>
  </si>
  <si>
    <t>Средняя расчетная плотность сухого вещества (кг СВ/м3) =</t>
  </si>
  <si>
    <t>Рекомендуется плотность СВ более 240 кг СВ/м3</t>
  </si>
  <si>
    <t>Максимально достижимая плотность СВ (кг СВ/ м3)=</t>
  </si>
  <si>
    <t xml:space="preserve">Плотность СВ выше максимально достижимой нереалистична </t>
  </si>
  <si>
    <t>================================================================================================================</t>
  </si>
  <si>
    <t>----------------------------------------------------------------------------------------------------------------------------------------------------------------------------------------------</t>
  </si>
  <si>
    <t>Taenlen i Gyfrifo Dwysedd Cyfartalog</t>
  </si>
  <si>
    <t>   Silwair mewn Seilo (Unedau Metrig)</t>
  </si>
  <si>
    <t>Prifysgol Wisconsin - Madison</t>
  </si>
  <si>
    <t>Uchder Silwair Wrth Wal y Seilo (metrau) =</t>
  </si>
  <si>
    <t>23-Awst-07</t>
  </si>
  <si>
    <t>Uchafbwynt Uchder y Silwair yn y Seilo (metrau) =</t>
  </si>
  <si>
    <t>Gallwch newid y gwerthoedd yn y celloedd melyn</t>
  </si>
  <si>
    <t>Cyfradd Cyflenwi Silwair i'r Seilo (tunnell ffres / awr) =</t>
  </si>
  <si>
    <t>Gwerthoedd nodweddiadol yw 15 - 200 tunnell ffres / awr</t>
  </si>
  <si>
    <t>Cynnwys DM y Silwair (degol hy 0.35) =</t>
  </si>
  <si>
    <t>Amrediad a argymhellir o gynnwys DM = 0.3 - 0.4</t>
  </si>
  <si>
    <t>Trwch yr Haenau Pecynnu Silwair (cm) =</t>
  </si>
  <si>
    <t>Gwerth a argymhellir yw 15 cm neu lai</t>
  </si>
  <si>
    <t>Tractorau Llenwi - Pob Tractor</t>
  </si>
  <si>
    <t>Amser Llenwi Pob Tractor (% o'r Amser Llenwi)</t>
  </si>
  <si>
    <t>Tractor Rhif. 1</t>
  </si>
  <si>
    <t>Tractor Rhif. 2</t>
  </si>
  <si>
    <t>Tractor Rhif. 3</t>
  </si>
  <si>
    <t>Tractor Rhif. 4</t>
  </si>
  <si>
    <t>Cyfanswm Pwysau Tractor Cyfrannol (kg) =</t>
  </si>
  <si>
    <t>Uchder Cyfartalog y Silwair (metrau) =</t>
  </si>
  <si>
    <t>Mae celloedd gwyrdd yn werthoedd cyfrifo canolradd</t>
  </si>
  <si>
    <t>--------------------------------------------------------------------------------------------------------------------------------------------------------------------------------------</t>
  </si>
  <si>
    <t>Ffactor Pacio =</t>
  </si>
  <si>
    <t>Canlyniadau cyfrifiadau yw'r gwerthoedd mewn celloedd pinc</t>
  </si>
  <si>
    <t>Amc. Dwysedd Cyfartalog = Dwysedd Swmp (kg ffres / m3) =</t>
  </si>
  <si>
    <t>Mae Dwysedd Gwlyb sy'n fwy na'r Dwysedd Uchaf Posib yn afrealistig</t>
  </si>
  <si>
    <t>Argymhellir Ffigwr Mandyllau Lenwir â Nwy sy'n llai na 0.40</t>
  </si>
  <si>
    <t>Mae Dwysedd Sych sy'n fwy na'r Dwysedd Uchaf Posib yn afrealistig</t>
  </si>
  <si>
    <t>Brian Holmes(1) a Richard Muck(2)</t>
  </si>
  <si>
    <t>(1) Adran Peirianneg Systemau Biolegol a</t>
  </si>
  <si>
    <t>(2) Canolfan Ymchwil Porthiant Llaeth yr UD</t>
  </si>
  <si>
    <t>Argymhellir Dwysedd Gwlyb uwch na 705 kg ffres / m3</t>
  </si>
  <si>
    <t>Dwysedd Swmp Uchaf Posib (kg ffres / m3) =</t>
  </si>
  <si>
    <t>Mandyllau Lenwir â Nwy =</t>
  </si>
  <si>
    <t>Amc. Dwysedd Sych Cyfartalog (kg DM / m3) =</t>
  </si>
  <si>
    <t>Argymhellir Dwysedd Sych sy'n fwy na 240 Kg DM / m3</t>
  </si>
  <si>
    <t>Dwysedd Sych Uchaf Posib (kg DM / m3) =</t>
  </si>
  <si>
    <t>=========================================================================================================</t>
  </si>
  <si>
    <t xml:space="preserve">                        Pwysau Tractor (kg)</t>
  </si>
  <si>
    <t xml:space="preserve">              Tractor Weight (lbs)</t>
  </si>
  <si>
    <t xml:space="preserve">                                                 Peso del tractor (lbs)</t>
  </si>
  <si>
    <t>==========================================================================================================================================</t>
  </si>
  <si>
    <t xml:space="preserve">            Tractor Weight (Kg)</t>
  </si>
  <si>
    <t xml:space="preserve">                                         вес трактора (кг)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</si>
</sst>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00"/>
  </numFmts>
  <fonts count="42" x14ac:knownFonts="1">
    <font>
      <sz val="10"/>
      <name val="Arial"/>
    </font>
    <font>
      <sz val="10"/>
      <name val="Arial"/>
    </font>
    <font>
      <b/>
      <sz val="10"/>
      <color indexed="57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i/>
      <sz val="10"/>
      <color indexed="12"/>
      <name val="Trebuchet MS"/>
      <family val="2"/>
    </font>
    <font>
      <b/>
      <sz val="14"/>
      <color indexed="12"/>
      <name val="Trebuchet MS"/>
      <family val="2"/>
    </font>
    <font>
      <sz val="10"/>
      <name val="Trebuchet MS"/>
      <family val="2"/>
    </font>
    <font>
      <sz val="12"/>
      <color indexed="57"/>
      <name val="Trebuchet MS"/>
      <family val="2"/>
    </font>
    <font>
      <b/>
      <sz val="14"/>
      <color indexed="57"/>
      <name val="Trebuchet MS"/>
      <family val="2"/>
    </font>
    <font>
      <sz val="10"/>
      <color indexed="57"/>
      <name val="Trebuchet MS"/>
      <family val="2"/>
    </font>
    <font>
      <sz val="10"/>
      <color indexed="55"/>
      <name val="Trebuchet MS"/>
      <family val="2"/>
    </font>
    <font>
      <b/>
      <sz val="10"/>
      <name val="Trebuchet MS"/>
      <family val="2"/>
    </font>
    <font>
      <sz val="10"/>
      <color indexed="10"/>
      <name val="Trebuchet MS"/>
      <family val="2"/>
    </font>
    <font>
      <sz val="10"/>
      <color indexed="9"/>
      <name val="Trebuchet MS"/>
      <family val="2"/>
    </font>
    <font>
      <sz val="10"/>
      <color indexed="23"/>
      <name val="Trebuchet MS"/>
      <family val="2"/>
    </font>
    <font>
      <b/>
      <sz val="12"/>
      <name val="Trebuchet MS"/>
      <family val="2"/>
    </font>
    <font>
      <vertAlign val="superscript"/>
      <sz val="10"/>
      <color indexed="10"/>
      <name val="Trebuchet MS"/>
      <family val="2"/>
    </font>
    <font>
      <sz val="12"/>
      <color indexed="10"/>
      <name val="Trebuchet MS"/>
      <family val="2"/>
    </font>
    <font>
      <b/>
      <sz val="16"/>
      <name val="Arial"/>
      <family val="2"/>
    </font>
    <font>
      <b/>
      <sz val="16"/>
      <name val="Arial"/>
    </font>
    <font>
      <sz val="10"/>
      <color indexed="9"/>
      <name val="Arial"/>
    </font>
    <font>
      <b/>
      <sz val="10"/>
      <color indexed="9"/>
      <name val="Arial"/>
      <family val="2"/>
    </font>
    <font>
      <sz val="10"/>
      <color indexed="10"/>
      <name val="Arial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12"/>
      <name val="Arial"/>
    </font>
    <font>
      <sz val="9"/>
      <name val="Arial"/>
      <family val="2"/>
    </font>
    <font>
      <sz val="10"/>
      <name val="Arial"/>
      <family val="2"/>
      <charset val="204"/>
    </font>
    <font>
      <b/>
      <sz val="14"/>
      <color indexed="12"/>
      <name val="Arial"/>
      <family val="2"/>
    </font>
    <font>
      <b/>
      <sz val="14"/>
      <color indexed="57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4" fillId="3" borderId="0" xfId="0" applyFont="1" applyFill="1"/>
    <xf numFmtId="164" fontId="4" fillId="3" borderId="0" xfId="0" applyNumberFormat="1" applyFont="1" applyFill="1"/>
    <xf numFmtId="0" fontId="4" fillId="4" borderId="0" xfId="0" applyFont="1" applyFill="1"/>
    <xf numFmtId="0" fontId="5" fillId="0" borderId="0" xfId="0" applyFont="1"/>
    <xf numFmtId="0" fontId="0" fillId="4" borderId="0" xfId="0" applyFill="1"/>
    <xf numFmtId="164" fontId="6" fillId="5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/>
    <xf numFmtId="164" fontId="4" fillId="0" borderId="0" xfId="0" applyNumberFormat="1" applyFont="1"/>
    <xf numFmtId="0" fontId="0" fillId="0" borderId="0" xfId="0" quotePrefix="1"/>
    <xf numFmtId="0" fontId="11" fillId="0" borderId="0" xfId="0" applyFont="1"/>
    <xf numFmtId="0" fontId="10" fillId="0" borderId="0" xfId="0" applyFont="1"/>
    <xf numFmtId="164" fontId="6" fillId="0" borderId="0" xfId="0" applyNumberFormat="1" applyFont="1"/>
    <xf numFmtId="0" fontId="12" fillId="0" borderId="0" xfId="0" applyFont="1"/>
    <xf numFmtId="0" fontId="15" fillId="0" borderId="0" xfId="0" applyFont="1"/>
    <xf numFmtId="15" fontId="18" fillId="0" borderId="0" xfId="0" applyNumberFormat="1" applyFont="1" applyAlignment="1">
      <alignment horizontal="left"/>
    </xf>
    <xf numFmtId="166" fontId="19" fillId="0" borderId="0" xfId="1" applyNumberFormat="1" applyFont="1"/>
    <xf numFmtId="0" fontId="15" fillId="0" borderId="1" xfId="0" applyFont="1" applyBorder="1" applyAlignment="1">
      <alignment horizontal="center" wrapText="1"/>
    </xf>
    <xf numFmtId="0" fontId="22" fillId="0" borderId="0" xfId="0" applyFont="1"/>
    <xf numFmtId="0" fontId="15" fillId="0" borderId="0" xfId="0" quotePrefix="1" applyFont="1"/>
    <xf numFmtId="166" fontId="15" fillId="0" borderId="0" xfId="1" applyNumberFormat="1" applyFont="1" applyAlignment="1" applyProtection="1">
      <alignment horizontal="left"/>
      <protection locked="0"/>
    </xf>
    <xf numFmtId="0" fontId="23" fillId="0" borderId="0" xfId="0" applyFont="1"/>
    <xf numFmtId="0" fontId="20" fillId="6" borderId="2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166" fontId="15" fillId="0" borderId="0" xfId="1" applyNumberFormat="1" applyFont="1"/>
    <xf numFmtId="0" fontId="20" fillId="7" borderId="4" xfId="0" applyFont="1" applyFill="1" applyBorder="1" applyAlignment="1">
      <alignment horizontal="center"/>
    </xf>
    <xf numFmtId="0" fontId="21" fillId="0" borderId="0" xfId="0" applyFont="1"/>
    <xf numFmtId="166" fontId="22" fillId="0" borderId="0" xfId="1" applyNumberFormat="1" applyFont="1"/>
    <xf numFmtId="164" fontId="4" fillId="4" borderId="5" xfId="0" applyNumberFormat="1" applyFont="1" applyFill="1" applyBorder="1"/>
    <xf numFmtId="166" fontId="21" fillId="0" borderId="0" xfId="1" applyNumberFormat="1" applyFont="1"/>
    <xf numFmtId="0" fontId="27" fillId="8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65" fontId="27" fillId="8" borderId="0" xfId="0" applyNumberFormat="1" applyFont="1" applyFill="1" applyAlignment="1">
      <alignment horizontal="center"/>
    </xf>
    <xf numFmtId="165" fontId="28" fillId="8" borderId="0" xfId="0" applyNumberFormat="1" applyFont="1" applyFill="1" applyAlignment="1">
      <alignment horizontal="center"/>
    </xf>
    <xf numFmtId="166" fontId="21" fillId="0" borderId="0" xfId="1" applyNumberFormat="1" applyFont="1" applyAlignment="1">
      <alignment horizontal="center"/>
    </xf>
    <xf numFmtId="0" fontId="0" fillId="3" borderId="0" xfId="0" applyFill="1"/>
    <xf numFmtId="1" fontId="4" fillId="0" borderId="0" xfId="0" applyNumberFormat="1" applyFont="1"/>
    <xf numFmtId="0" fontId="4" fillId="8" borderId="5" xfId="0" applyFont="1" applyFill="1" applyBorder="1" applyProtection="1">
      <protection locked="0"/>
    </xf>
    <xf numFmtId="0" fontId="4" fillId="8" borderId="1" xfId="0" applyFont="1" applyFill="1" applyBorder="1" applyProtection="1">
      <protection locked="0"/>
    </xf>
    <xf numFmtId="0" fontId="4" fillId="8" borderId="6" xfId="0" applyFont="1" applyFill="1" applyBorder="1" applyProtection="1">
      <protection locked="0"/>
    </xf>
    <xf numFmtId="0" fontId="4" fillId="8" borderId="0" xfId="0" applyFont="1" applyFill="1" applyAlignment="1" applyProtection="1">
      <alignment horizontal="left"/>
      <protection locked="0"/>
    </xf>
    <xf numFmtId="2" fontId="4" fillId="4" borderId="5" xfId="0" applyNumberFormat="1" applyFont="1" applyFill="1" applyBorder="1"/>
    <xf numFmtId="3" fontId="4" fillId="8" borderId="5" xfId="0" applyNumberFormat="1" applyFont="1" applyFill="1" applyBorder="1" applyProtection="1">
      <protection locked="0"/>
    </xf>
    <xf numFmtId="3" fontId="4" fillId="3" borderId="0" xfId="0" applyNumberFormat="1" applyFont="1" applyFill="1"/>
    <xf numFmtId="0" fontId="6" fillId="0" borderId="0" xfId="0" applyFont="1"/>
    <xf numFmtId="0" fontId="29" fillId="0" borderId="0" xfId="0" applyFont="1"/>
    <xf numFmtId="164" fontId="30" fillId="0" borderId="0" xfId="0" applyNumberFormat="1" applyFont="1"/>
    <xf numFmtId="2" fontId="4" fillId="0" borderId="0" xfId="0" applyNumberFormat="1" applyFont="1"/>
    <xf numFmtId="167" fontId="8" fillId="0" borderId="0" xfId="0" applyNumberFormat="1" applyFont="1"/>
    <xf numFmtId="0" fontId="31" fillId="0" borderId="0" xfId="0" applyFont="1"/>
    <xf numFmtId="0" fontId="33" fillId="4" borderId="0" xfId="0" applyFont="1" applyFill="1"/>
    <xf numFmtId="0" fontId="34" fillId="0" borderId="0" xfId="0" applyFont="1"/>
    <xf numFmtId="165" fontId="4" fillId="8" borderId="7" xfId="1" applyNumberFormat="1" applyFont="1" applyFill="1" applyBorder="1" applyProtection="1">
      <protection locked="0"/>
    </xf>
    <xf numFmtId="165" fontId="4" fillId="8" borderId="8" xfId="1" applyNumberFormat="1" applyFont="1" applyFill="1" applyBorder="1" applyProtection="1">
      <protection locked="0"/>
    </xf>
    <xf numFmtId="166" fontId="4" fillId="8" borderId="8" xfId="1" applyNumberFormat="1" applyFont="1" applyFill="1" applyBorder="1" applyProtection="1">
      <protection locked="0"/>
    </xf>
    <xf numFmtId="43" fontId="4" fillId="8" borderId="8" xfId="1" applyFont="1" applyFill="1" applyBorder="1" applyProtection="1">
      <protection locked="0"/>
    </xf>
    <xf numFmtId="166" fontId="4" fillId="8" borderId="9" xfId="1" applyNumberFormat="1" applyFont="1" applyFill="1" applyBorder="1" applyProtection="1">
      <protection locked="0"/>
    </xf>
    <xf numFmtId="0" fontId="4" fillId="0" borderId="6" xfId="1" applyNumberFormat="1" applyFont="1" applyBorder="1" applyAlignment="1">
      <alignment horizontal="center"/>
    </xf>
    <xf numFmtId="1" fontId="4" fillId="8" borderId="10" xfId="1" applyNumberFormat="1" applyFont="1" applyFill="1" applyBorder="1" applyProtection="1">
      <protection locked="0"/>
    </xf>
    <xf numFmtId="1" fontId="4" fillId="8" borderId="11" xfId="1" applyNumberFormat="1" applyFont="1" applyFill="1" applyBorder="1" applyProtection="1">
      <protection locked="0"/>
    </xf>
    <xf numFmtId="1" fontId="4" fillId="8" borderId="12" xfId="1" applyNumberFormat="1" applyFont="1" applyFill="1" applyBorder="1" applyProtection="1">
      <protection locked="0"/>
    </xf>
    <xf numFmtId="166" fontId="4" fillId="0" borderId="0" xfId="1" applyNumberFormat="1" applyFont="1" applyProtection="1">
      <protection locked="0"/>
    </xf>
    <xf numFmtId="166" fontId="4" fillId="3" borderId="5" xfId="1" applyNumberFormat="1" applyFont="1" applyFill="1" applyBorder="1"/>
    <xf numFmtId="165" fontId="4" fillId="3" borderId="5" xfId="1" applyNumberFormat="1" applyFont="1" applyFill="1" applyBorder="1"/>
    <xf numFmtId="166" fontId="4" fillId="0" borderId="0" xfId="1" applyNumberFormat="1" applyFont="1"/>
    <xf numFmtId="166" fontId="4" fillId="4" borderId="1" xfId="1" applyNumberFormat="1" applyFont="1" applyFill="1" applyBorder="1"/>
    <xf numFmtId="1" fontId="24" fillId="8" borderId="13" xfId="1" applyNumberFormat="1" applyFont="1" applyFill="1" applyBorder="1" applyAlignment="1" applyProtection="1">
      <alignment horizontal="right"/>
      <protection locked="0"/>
    </xf>
    <xf numFmtId="1" fontId="24" fillId="8" borderId="14" xfId="1" applyNumberFormat="1" applyFont="1" applyFill="1" applyBorder="1" applyAlignment="1" applyProtection="1">
      <alignment horizontal="right"/>
      <protection locked="0"/>
    </xf>
    <xf numFmtId="1" fontId="24" fillId="8" borderId="15" xfId="1" applyNumberFormat="1" applyFont="1" applyFill="1" applyBorder="1" applyAlignment="1" applyProtection="1">
      <alignment horizontal="right"/>
      <protection locked="0"/>
    </xf>
    <xf numFmtId="0" fontId="20" fillId="6" borderId="4" xfId="0" applyFont="1" applyFill="1" applyBorder="1" applyAlignment="1">
      <alignment horizontal="center"/>
    </xf>
    <xf numFmtId="166" fontId="4" fillId="4" borderId="16" xfId="1" applyNumberFormat="1" applyFont="1" applyFill="1" applyBorder="1"/>
    <xf numFmtId="166" fontId="24" fillId="4" borderId="5" xfId="1" applyNumberFormat="1" applyFont="1" applyFill="1" applyBorder="1"/>
    <xf numFmtId="0" fontId="35" fillId="0" borderId="0" xfId="0" applyFont="1"/>
    <xf numFmtId="0" fontId="35" fillId="8" borderId="5" xfId="0" applyFont="1" applyFill="1" applyBorder="1" applyProtection="1">
      <protection locked="0"/>
    </xf>
    <xf numFmtId="0" fontId="35" fillId="0" borderId="0" xfId="0" quotePrefix="1" applyFont="1"/>
    <xf numFmtId="3" fontId="35" fillId="8" borderId="5" xfId="0" applyNumberFormat="1" applyFont="1" applyFill="1" applyBorder="1" applyProtection="1">
      <protection locked="0"/>
    </xf>
    <xf numFmtId="0" fontId="35" fillId="8" borderId="0" xfId="0" applyFont="1" applyFill="1" applyAlignment="1" applyProtection="1">
      <alignment horizontal="left"/>
      <protection locked="0"/>
    </xf>
    <xf numFmtId="3" fontId="35" fillId="3" borderId="0" xfId="0" applyNumberFormat="1" applyFont="1" applyFill="1"/>
    <xf numFmtId="164" fontId="35" fillId="0" borderId="0" xfId="0" applyNumberFormat="1" applyFont="1"/>
    <xf numFmtId="164" fontId="35" fillId="3" borderId="0" xfId="0" applyNumberFormat="1" applyFont="1" applyFill="1"/>
    <xf numFmtId="1" fontId="35" fillId="0" borderId="0" xfId="0" applyNumberFormat="1" applyFont="1"/>
    <xf numFmtId="2" fontId="35" fillId="0" borderId="0" xfId="0" applyNumberFormat="1" applyFont="1"/>
    <xf numFmtId="0" fontId="35" fillId="4" borderId="0" xfId="0" applyFont="1" applyFill="1"/>
    <xf numFmtId="164" fontId="35" fillId="4" borderId="5" xfId="0" applyNumberFormat="1" applyFont="1" applyFill="1" applyBorder="1"/>
    <xf numFmtId="2" fontId="35" fillId="4" borderId="5" xfId="0" applyNumberFormat="1" applyFont="1" applyFill="1" applyBorder="1"/>
    <xf numFmtId="0" fontId="36" fillId="0" borderId="0" xfId="0" applyFont="1"/>
    <xf numFmtId="0" fontId="37" fillId="0" borderId="0" xfId="0" applyFont="1"/>
    <xf numFmtId="0" fontId="37" fillId="3" borderId="0" xfId="0" applyFont="1" applyFill="1"/>
    <xf numFmtId="0" fontId="37" fillId="4" borderId="0" xfId="0" applyFont="1" applyFill="1"/>
    <xf numFmtId="0" fontId="37" fillId="2" borderId="0" xfId="0" applyFont="1" applyFill="1"/>
    <xf numFmtId="0" fontId="37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" fillId="8" borderId="5" xfId="0" applyFont="1" applyFill="1" applyBorder="1" applyAlignment="1" applyProtection="1">
      <alignment horizontal="center"/>
      <protection locked="0"/>
    </xf>
    <xf numFmtId="49" fontId="3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6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7" fillId="2" borderId="0" xfId="0" applyFont="1" applyFill="1"/>
    <xf numFmtId="2" fontId="4" fillId="4" borderId="5" xfId="0" applyNumberFormat="1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2" fillId="10" borderId="0" xfId="0" applyFont="1" applyFill="1"/>
    <xf numFmtId="0" fontId="40" fillId="0" borderId="0" xfId="0" applyFont="1"/>
    <xf numFmtId="0" fontId="41" fillId="0" borderId="0" xfId="0" applyFont="1"/>
    <xf numFmtId="0" fontId="20" fillId="6" borderId="17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8</xdr:row>
      <xdr:rowOff>95250</xdr:rowOff>
    </xdr:from>
    <xdr:to>
      <xdr:col>17</xdr:col>
      <xdr:colOff>476250</xdr:colOff>
      <xdr:row>15</xdr:row>
      <xdr:rowOff>142875</xdr:rowOff>
    </xdr:to>
    <xdr:sp macro="" textlink="">
      <xdr:nvSpPr>
        <xdr:cNvPr id="1250" name="AutoShape 1">
          <a:extLst>
            <a:ext uri="{FF2B5EF4-FFF2-40B4-BE49-F238E27FC236}">
              <a16:creationId xmlns:a16="http://schemas.microsoft.com/office/drawing/2014/main" id="{3B314EDC-C481-41C5-9F9E-EC256C0B4A36}"/>
            </a:ext>
          </a:extLst>
        </xdr:cNvPr>
        <xdr:cNvSpPr>
          <a:spLocks noChangeArrowheads="1"/>
        </xdr:cNvSpPr>
      </xdr:nvSpPr>
      <xdr:spPr bwMode="auto">
        <a:xfrm>
          <a:off x="10620375" y="1543050"/>
          <a:ext cx="4267200" cy="1562100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173355</xdr:colOff>
      <xdr:row>7</xdr:row>
      <xdr:rowOff>160020</xdr:rowOff>
    </xdr:from>
    <xdr:ext cx="1249125" cy="686278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91610D21-961A-430F-ADD8-18A4ED968C38}"/>
            </a:ext>
          </a:extLst>
        </xdr:cNvPr>
        <xdr:cNvSpPr txBox="1">
          <a:spLocks noChangeArrowheads="1"/>
        </xdr:cNvSpPr>
      </xdr:nvSpPr>
      <xdr:spPr bwMode="auto">
        <a:xfrm>
          <a:off x="8072755" y="1430020"/>
          <a:ext cx="1249125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 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(ft)</a:t>
          </a: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9</xdr:col>
      <xdr:colOff>47625</xdr:colOff>
      <xdr:row>8</xdr:row>
      <xdr:rowOff>95250</xdr:rowOff>
    </xdr:from>
    <xdr:to>
      <xdr:col>12</xdr:col>
      <xdr:colOff>95250</xdr:colOff>
      <xdr:row>8</xdr:row>
      <xdr:rowOff>95250</xdr:rowOff>
    </xdr:to>
    <xdr:sp macro="" textlink="">
      <xdr:nvSpPr>
        <xdr:cNvPr id="1252" name="Line 3">
          <a:extLst>
            <a:ext uri="{FF2B5EF4-FFF2-40B4-BE49-F238E27FC236}">
              <a16:creationId xmlns:a16="http://schemas.microsoft.com/office/drawing/2014/main" id="{391D0153-B656-4FED-BE83-AE65479E91E4}"/>
            </a:ext>
          </a:extLst>
        </xdr:cNvPr>
        <xdr:cNvSpPr>
          <a:spLocks noChangeShapeType="1"/>
        </xdr:cNvSpPr>
      </xdr:nvSpPr>
      <xdr:spPr bwMode="auto">
        <a:xfrm flipH="1">
          <a:off x="9182100" y="1543050"/>
          <a:ext cx="2276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409575</xdr:colOff>
      <xdr:row>15</xdr:row>
      <xdr:rowOff>142875</xdr:rowOff>
    </xdr:from>
    <xdr:to>
      <xdr:col>12</xdr:col>
      <xdr:colOff>95250</xdr:colOff>
      <xdr:row>15</xdr:row>
      <xdr:rowOff>142875</xdr:rowOff>
    </xdr:to>
    <xdr:sp macro="" textlink="">
      <xdr:nvSpPr>
        <xdr:cNvPr id="1253" name="Line 4">
          <a:extLst>
            <a:ext uri="{FF2B5EF4-FFF2-40B4-BE49-F238E27FC236}">
              <a16:creationId xmlns:a16="http://schemas.microsoft.com/office/drawing/2014/main" id="{2CBE7D86-D933-480B-BBAA-78C48837CF97}"/>
            </a:ext>
          </a:extLst>
        </xdr:cNvPr>
        <xdr:cNvSpPr>
          <a:spLocks noChangeShapeType="1"/>
        </xdr:cNvSpPr>
      </xdr:nvSpPr>
      <xdr:spPr bwMode="auto">
        <a:xfrm flipH="1">
          <a:off x="8305800" y="310515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175260</xdr:colOff>
      <xdr:row>10</xdr:row>
      <xdr:rowOff>0</xdr:rowOff>
    </xdr:from>
    <xdr:ext cx="1198020" cy="686278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390E8AE-3961-4220-87EF-291C500E9AA9}"/>
            </a:ext>
          </a:extLst>
        </xdr:cNvPr>
        <xdr:cNvSpPr txBox="1">
          <a:spLocks noChangeArrowheads="1"/>
        </xdr:cNvSpPr>
      </xdr:nvSpPr>
      <xdr:spPr bwMode="auto">
        <a:xfrm>
          <a:off x="9319260" y="1879600"/>
          <a:ext cx="1198020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Wall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(ft)</a:t>
          </a: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9</xdr:col>
      <xdr:colOff>428625</xdr:colOff>
      <xdr:row>14</xdr:row>
      <xdr:rowOff>0</xdr:rowOff>
    </xdr:from>
    <xdr:to>
      <xdr:col>9</xdr:col>
      <xdr:colOff>428625</xdr:colOff>
      <xdr:row>15</xdr:row>
      <xdr:rowOff>142875</xdr:rowOff>
    </xdr:to>
    <xdr:sp macro="" textlink="">
      <xdr:nvSpPr>
        <xdr:cNvPr id="1255" name="Line 6">
          <a:extLst>
            <a:ext uri="{FF2B5EF4-FFF2-40B4-BE49-F238E27FC236}">
              <a16:creationId xmlns:a16="http://schemas.microsoft.com/office/drawing/2014/main" id="{87344521-8EC7-4981-838D-DDA20ECEA57C}"/>
            </a:ext>
          </a:extLst>
        </xdr:cNvPr>
        <xdr:cNvSpPr>
          <a:spLocks noChangeShapeType="1"/>
        </xdr:cNvSpPr>
      </xdr:nvSpPr>
      <xdr:spPr bwMode="auto">
        <a:xfrm>
          <a:off x="9563100" y="27622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428625</xdr:colOff>
      <xdr:row>8</xdr:row>
      <xdr:rowOff>95250</xdr:rowOff>
    </xdr:from>
    <xdr:to>
      <xdr:col>9</xdr:col>
      <xdr:colOff>428625</xdr:colOff>
      <xdr:row>10</xdr:row>
      <xdr:rowOff>38100</xdr:rowOff>
    </xdr:to>
    <xdr:sp macro="" textlink="">
      <xdr:nvSpPr>
        <xdr:cNvPr id="1256" name="Line 7">
          <a:extLst>
            <a:ext uri="{FF2B5EF4-FFF2-40B4-BE49-F238E27FC236}">
              <a16:creationId xmlns:a16="http://schemas.microsoft.com/office/drawing/2014/main" id="{5813788D-B8D7-4F62-8FE4-92681F1DE4FC}"/>
            </a:ext>
          </a:extLst>
        </xdr:cNvPr>
        <xdr:cNvSpPr>
          <a:spLocks noChangeShapeType="1"/>
        </xdr:cNvSpPr>
      </xdr:nvSpPr>
      <xdr:spPr bwMode="auto">
        <a:xfrm flipV="1">
          <a:off x="9563100" y="1543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6</xdr:row>
      <xdr:rowOff>38100</xdr:rowOff>
    </xdr:from>
    <xdr:to>
      <xdr:col>17</xdr:col>
      <xdr:colOff>476250</xdr:colOff>
      <xdr:row>8</xdr:row>
      <xdr:rowOff>95250</xdr:rowOff>
    </xdr:to>
    <xdr:sp macro="" textlink="">
      <xdr:nvSpPr>
        <xdr:cNvPr id="1257" name="Freeform 8">
          <a:extLst>
            <a:ext uri="{FF2B5EF4-FFF2-40B4-BE49-F238E27FC236}">
              <a16:creationId xmlns:a16="http://schemas.microsoft.com/office/drawing/2014/main" id="{AB7DA60C-242A-4272-A2BA-76DFC4BD024E}"/>
            </a:ext>
          </a:extLst>
        </xdr:cNvPr>
        <xdr:cNvSpPr>
          <a:spLocks/>
        </xdr:cNvSpPr>
      </xdr:nvSpPr>
      <xdr:spPr bwMode="auto">
        <a:xfrm>
          <a:off x="10620375" y="1085850"/>
          <a:ext cx="4267200" cy="457200"/>
        </a:xfrm>
        <a:custGeom>
          <a:avLst/>
          <a:gdLst>
            <a:gd name="T0" fmla="*/ 0 w 2688"/>
            <a:gd name="T1" fmla="*/ 2147483646 h 288"/>
            <a:gd name="T2" fmla="*/ 2147483646 w 2688"/>
            <a:gd name="T3" fmla="*/ 2147483646 h 288"/>
            <a:gd name="T4" fmla="*/ 2147483646 w 2688"/>
            <a:gd name="T5" fmla="*/ 2147483646 h 288"/>
            <a:gd name="T6" fmla="*/ 2147483646 w 2688"/>
            <a:gd name="T7" fmla="*/ 0 h 288"/>
            <a:gd name="T8" fmla="*/ 2147483646 w 2688"/>
            <a:gd name="T9" fmla="*/ 0 h 288"/>
            <a:gd name="T10" fmla="*/ 2147483646 w 2688"/>
            <a:gd name="T11" fmla="*/ 0 h 288"/>
            <a:gd name="T12" fmla="*/ 2147483646 w 2688"/>
            <a:gd name="T13" fmla="*/ 2147483646 h 288"/>
            <a:gd name="T14" fmla="*/ 2147483646 w 2688"/>
            <a:gd name="T15" fmla="*/ 2147483646 h 288"/>
            <a:gd name="T16" fmla="*/ 2147483646 w 2688"/>
            <a:gd name="T17" fmla="*/ 2147483646 h 288"/>
            <a:gd name="T18" fmla="*/ 2147483646 w 2688"/>
            <a:gd name="T19" fmla="*/ 2147483646 h 288"/>
            <a:gd name="T20" fmla="*/ 0 w 2688"/>
            <a:gd name="T21" fmla="*/ 2147483646 h 28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88"/>
            <a:gd name="T34" fmla="*/ 0 h 288"/>
            <a:gd name="T35" fmla="*/ 2688 w 2688"/>
            <a:gd name="T36" fmla="*/ 288 h 28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88" h="288">
              <a:moveTo>
                <a:pt x="0" y="288"/>
              </a:moveTo>
              <a:lnTo>
                <a:pt x="240" y="144"/>
              </a:lnTo>
              <a:lnTo>
                <a:pt x="576" y="48"/>
              </a:lnTo>
              <a:lnTo>
                <a:pt x="912" y="0"/>
              </a:lnTo>
              <a:lnTo>
                <a:pt x="1344" y="0"/>
              </a:lnTo>
              <a:lnTo>
                <a:pt x="1728" y="0"/>
              </a:lnTo>
              <a:lnTo>
                <a:pt x="2016" y="48"/>
              </a:lnTo>
              <a:lnTo>
                <a:pt x="2352" y="144"/>
              </a:lnTo>
              <a:lnTo>
                <a:pt x="2448" y="192"/>
              </a:lnTo>
              <a:lnTo>
                <a:pt x="2688" y="288"/>
              </a:lnTo>
              <a:cubicBezTo>
                <a:pt x="1792" y="288"/>
                <a:pt x="896" y="288"/>
                <a:pt x="0" y="288"/>
              </a:cubicBezTo>
              <a:close/>
            </a:path>
          </a:pathLst>
        </a:custGeom>
        <a:solidFill>
          <a:srgbClr val="008000"/>
        </a:solidFill>
        <a:ln w="28575" cmpd="sng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</xdr:row>
      <xdr:rowOff>38100</xdr:rowOff>
    </xdr:from>
    <xdr:to>
      <xdr:col>12</xdr:col>
      <xdr:colOff>171450</xdr:colOff>
      <xdr:row>6</xdr:row>
      <xdr:rowOff>38100</xdr:rowOff>
    </xdr:to>
    <xdr:sp macro="" textlink="">
      <xdr:nvSpPr>
        <xdr:cNvPr id="1258" name="Line 9">
          <a:extLst>
            <a:ext uri="{FF2B5EF4-FFF2-40B4-BE49-F238E27FC236}">
              <a16:creationId xmlns:a16="http://schemas.microsoft.com/office/drawing/2014/main" id="{7A66B18E-D8DE-4F56-A4C1-BD7C5FF9348E}"/>
            </a:ext>
          </a:extLst>
        </xdr:cNvPr>
        <xdr:cNvSpPr>
          <a:spLocks noChangeShapeType="1"/>
        </xdr:cNvSpPr>
      </xdr:nvSpPr>
      <xdr:spPr bwMode="auto">
        <a:xfrm flipH="1">
          <a:off x="8382000" y="108585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714375</xdr:colOff>
      <xdr:row>12</xdr:row>
      <xdr:rowOff>142875</xdr:rowOff>
    </xdr:from>
    <xdr:to>
      <xdr:col>8</xdr:col>
      <xdr:colOff>714375</xdr:colOff>
      <xdr:row>15</xdr:row>
      <xdr:rowOff>142875</xdr:rowOff>
    </xdr:to>
    <xdr:sp macro="" textlink="">
      <xdr:nvSpPr>
        <xdr:cNvPr id="1259" name="Line 10">
          <a:extLst>
            <a:ext uri="{FF2B5EF4-FFF2-40B4-BE49-F238E27FC236}">
              <a16:creationId xmlns:a16="http://schemas.microsoft.com/office/drawing/2014/main" id="{8C81F4FC-0CF9-4436-96C7-08C7CF80CB21}"/>
            </a:ext>
          </a:extLst>
        </xdr:cNvPr>
        <xdr:cNvSpPr>
          <a:spLocks noChangeShapeType="1"/>
        </xdr:cNvSpPr>
      </xdr:nvSpPr>
      <xdr:spPr bwMode="auto">
        <a:xfrm>
          <a:off x="8610600" y="2447925"/>
          <a:ext cx="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714375</xdr:colOff>
      <xdr:row>6</xdr:row>
      <xdr:rowOff>38100</xdr:rowOff>
    </xdr:from>
    <xdr:to>
      <xdr:col>8</xdr:col>
      <xdr:colOff>714375</xdr:colOff>
      <xdr:row>8</xdr:row>
      <xdr:rowOff>66675</xdr:rowOff>
    </xdr:to>
    <xdr:sp macro="" textlink="">
      <xdr:nvSpPr>
        <xdr:cNvPr id="1260" name="Line 11">
          <a:extLst>
            <a:ext uri="{FF2B5EF4-FFF2-40B4-BE49-F238E27FC236}">
              <a16:creationId xmlns:a16="http://schemas.microsoft.com/office/drawing/2014/main" id="{C5F48C51-F82F-4CBD-99C2-AD10C0FCE252}"/>
            </a:ext>
          </a:extLst>
        </xdr:cNvPr>
        <xdr:cNvSpPr>
          <a:spLocks noChangeShapeType="1"/>
        </xdr:cNvSpPr>
      </xdr:nvSpPr>
      <xdr:spPr bwMode="auto">
        <a:xfrm flipV="1">
          <a:off x="8610600" y="1085850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495300</xdr:colOff>
      <xdr:row>8</xdr:row>
      <xdr:rowOff>114300</xdr:rowOff>
    </xdr:from>
    <xdr:to>
      <xdr:col>12</xdr:col>
      <xdr:colOff>323850</xdr:colOff>
      <xdr:row>15</xdr:row>
      <xdr:rowOff>180975</xdr:rowOff>
    </xdr:to>
    <xdr:sp macro="" textlink="">
      <xdr:nvSpPr>
        <xdr:cNvPr id="1261" name="Line 12">
          <a:extLst>
            <a:ext uri="{FF2B5EF4-FFF2-40B4-BE49-F238E27FC236}">
              <a16:creationId xmlns:a16="http://schemas.microsoft.com/office/drawing/2014/main" id="{2EEF807D-332E-4157-8E4E-31B77D0A09A1}"/>
            </a:ext>
          </a:extLst>
        </xdr:cNvPr>
        <xdr:cNvSpPr>
          <a:spLocks noChangeShapeType="1"/>
        </xdr:cNvSpPr>
      </xdr:nvSpPr>
      <xdr:spPr bwMode="auto">
        <a:xfrm>
          <a:off x="10610850" y="1562100"/>
          <a:ext cx="1076325" cy="158115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15</xdr:row>
      <xdr:rowOff>190500</xdr:rowOff>
    </xdr:from>
    <xdr:to>
      <xdr:col>16</xdr:col>
      <xdr:colOff>66675</xdr:colOff>
      <xdr:row>15</xdr:row>
      <xdr:rowOff>190500</xdr:rowOff>
    </xdr:to>
    <xdr:sp macro="" textlink="">
      <xdr:nvSpPr>
        <xdr:cNvPr id="1262" name="Line 13">
          <a:extLst>
            <a:ext uri="{FF2B5EF4-FFF2-40B4-BE49-F238E27FC236}">
              <a16:creationId xmlns:a16="http://schemas.microsoft.com/office/drawing/2014/main" id="{91238171-B92D-408D-BD57-8D0DEBABBD07}"/>
            </a:ext>
          </a:extLst>
        </xdr:cNvPr>
        <xdr:cNvSpPr>
          <a:spLocks noChangeShapeType="1"/>
        </xdr:cNvSpPr>
      </xdr:nvSpPr>
      <xdr:spPr bwMode="auto">
        <a:xfrm>
          <a:off x="11639550" y="3152775"/>
          <a:ext cx="22288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8</xdr:row>
      <xdr:rowOff>123825</xdr:rowOff>
    </xdr:from>
    <xdr:to>
      <xdr:col>17</xdr:col>
      <xdr:colOff>542925</xdr:colOff>
      <xdr:row>16</xdr:row>
      <xdr:rowOff>28575</xdr:rowOff>
    </xdr:to>
    <xdr:sp macro="" textlink="">
      <xdr:nvSpPr>
        <xdr:cNvPr id="1263" name="Line 14">
          <a:extLst>
            <a:ext uri="{FF2B5EF4-FFF2-40B4-BE49-F238E27FC236}">
              <a16:creationId xmlns:a16="http://schemas.microsoft.com/office/drawing/2014/main" id="{74C659DB-FF4C-418A-BACF-BC73D334638A}"/>
            </a:ext>
          </a:extLst>
        </xdr:cNvPr>
        <xdr:cNvSpPr>
          <a:spLocks noChangeShapeType="1"/>
        </xdr:cNvSpPr>
      </xdr:nvSpPr>
      <xdr:spPr bwMode="auto">
        <a:xfrm flipH="1">
          <a:off x="13830300" y="1571625"/>
          <a:ext cx="1123950" cy="161925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598170</xdr:colOff>
      <xdr:row>11</xdr:row>
      <xdr:rowOff>38100</xdr:rowOff>
    </xdr:from>
    <xdr:to>
      <xdr:col>15</xdr:col>
      <xdr:colOff>485775</xdr:colOff>
      <xdr:row>12</xdr:row>
      <xdr:rowOff>121920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401AC071-CE1F-497E-B9AD-C56AB32AC330}"/>
            </a:ext>
          </a:extLst>
        </xdr:cNvPr>
        <xdr:cNvSpPr txBox="1">
          <a:spLocks noChangeArrowheads="1"/>
        </xdr:cNvSpPr>
      </xdr:nvSpPr>
      <xdr:spPr bwMode="auto">
        <a:xfrm>
          <a:off x="12275820" y="2095500"/>
          <a:ext cx="175260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Horizontal Silo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8</xdr:row>
      <xdr:rowOff>95250</xdr:rowOff>
    </xdr:from>
    <xdr:to>
      <xdr:col>18</xdr:col>
      <xdr:colOff>314325</xdr:colOff>
      <xdr:row>15</xdr:row>
      <xdr:rowOff>142875</xdr:rowOff>
    </xdr:to>
    <xdr:sp macro="" textlink="">
      <xdr:nvSpPr>
        <xdr:cNvPr id="2274" name="AutoShape 1">
          <a:extLst>
            <a:ext uri="{FF2B5EF4-FFF2-40B4-BE49-F238E27FC236}">
              <a16:creationId xmlns:a16="http://schemas.microsoft.com/office/drawing/2014/main" id="{3B67DA34-0171-4476-94D3-3072C5F45476}"/>
            </a:ext>
          </a:extLst>
        </xdr:cNvPr>
        <xdr:cNvSpPr>
          <a:spLocks noChangeArrowheads="1"/>
        </xdr:cNvSpPr>
      </xdr:nvSpPr>
      <xdr:spPr bwMode="auto">
        <a:xfrm>
          <a:off x="11258550" y="1543050"/>
          <a:ext cx="4267200" cy="1562100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546735</xdr:colOff>
      <xdr:row>7</xdr:row>
      <xdr:rowOff>114300</xdr:rowOff>
    </xdr:from>
    <xdr:ext cx="1262077" cy="686278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74F9652A-5BF8-457C-BE99-1C74B1D5FE78}"/>
            </a:ext>
          </a:extLst>
        </xdr:cNvPr>
        <xdr:cNvSpPr txBox="1">
          <a:spLocks noChangeArrowheads="1"/>
        </xdr:cNvSpPr>
      </xdr:nvSpPr>
      <xdr:spPr bwMode="auto">
        <a:xfrm>
          <a:off x="8611235" y="1384300"/>
          <a:ext cx="1262077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 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(m)</a:t>
          </a: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9</xdr:col>
      <xdr:colOff>952500</xdr:colOff>
      <xdr:row>8</xdr:row>
      <xdr:rowOff>95250</xdr:rowOff>
    </xdr:from>
    <xdr:to>
      <xdr:col>12</xdr:col>
      <xdr:colOff>542925</xdr:colOff>
      <xdr:row>8</xdr:row>
      <xdr:rowOff>104775</xdr:rowOff>
    </xdr:to>
    <xdr:sp macro="" textlink="">
      <xdr:nvSpPr>
        <xdr:cNvPr id="2276" name="Line 3">
          <a:extLst>
            <a:ext uri="{FF2B5EF4-FFF2-40B4-BE49-F238E27FC236}">
              <a16:creationId xmlns:a16="http://schemas.microsoft.com/office/drawing/2014/main" id="{19AB62D0-07BA-4683-ADE4-A145B72C957E}"/>
            </a:ext>
          </a:extLst>
        </xdr:cNvPr>
        <xdr:cNvSpPr>
          <a:spLocks noChangeShapeType="1"/>
        </xdr:cNvSpPr>
      </xdr:nvSpPr>
      <xdr:spPr bwMode="auto">
        <a:xfrm flipH="1">
          <a:off x="9820275" y="1543050"/>
          <a:ext cx="22764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847725</xdr:colOff>
      <xdr:row>15</xdr:row>
      <xdr:rowOff>142875</xdr:rowOff>
    </xdr:from>
    <xdr:to>
      <xdr:col>12</xdr:col>
      <xdr:colOff>542925</xdr:colOff>
      <xdr:row>15</xdr:row>
      <xdr:rowOff>142875</xdr:rowOff>
    </xdr:to>
    <xdr:sp macro="" textlink="">
      <xdr:nvSpPr>
        <xdr:cNvPr id="2277" name="Line 4">
          <a:extLst>
            <a:ext uri="{FF2B5EF4-FFF2-40B4-BE49-F238E27FC236}">
              <a16:creationId xmlns:a16="http://schemas.microsoft.com/office/drawing/2014/main" id="{C49839C5-E862-4431-9FA3-AB06C7FA88F1}"/>
            </a:ext>
          </a:extLst>
        </xdr:cNvPr>
        <xdr:cNvSpPr>
          <a:spLocks noChangeShapeType="1"/>
        </xdr:cNvSpPr>
      </xdr:nvSpPr>
      <xdr:spPr bwMode="auto">
        <a:xfrm flipH="1">
          <a:off x="8905875" y="3105150"/>
          <a:ext cx="3190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68580</xdr:colOff>
      <xdr:row>9</xdr:row>
      <xdr:rowOff>182880</xdr:rowOff>
    </xdr:from>
    <xdr:ext cx="1262077" cy="686278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456362C4-2ABA-4040-8BC9-ECC3735C3F4B}"/>
            </a:ext>
          </a:extLst>
        </xdr:cNvPr>
        <xdr:cNvSpPr txBox="1">
          <a:spLocks noChangeArrowheads="1"/>
        </xdr:cNvSpPr>
      </xdr:nvSpPr>
      <xdr:spPr bwMode="auto">
        <a:xfrm>
          <a:off x="9898380" y="1859280"/>
          <a:ext cx="1262077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Wall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(m)</a:t>
          </a: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457200</xdr:colOff>
      <xdr:row>14</xdr:row>
      <xdr:rowOff>38100</xdr:rowOff>
    </xdr:from>
    <xdr:to>
      <xdr:col>10</xdr:col>
      <xdr:colOff>457200</xdr:colOff>
      <xdr:row>15</xdr:row>
      <xdr:rowOff>142875</xdr:rowOff>
    </xdr:to>
    <xdr:sp macro="" textlink="">
      <xdr:nvSpPr>
        <xdr:cNvPr id="2279" name="Line 6">
          <a:extLst>
            <a:ext uri="{FF2B5EF4-FFF2-40B4-BE49-F238E27FC236}">
              <a16:creationId xmlns:a16="http://schemas.microsoft.com/office/drawing/2014/main" id="{D67667DF-4809-48A5-8AE9-CE159A7BB758}"/>
            </a:ext>
          </a:extLst>
        </xdr:cNvPr>
        <xdr:cNvSpPr>
          <a:spLocks noChangeShapeType="1"/>
        </xdr:cNvSpPr>
      </xdr:nvSpPr>
      <xdr:spPr bwMode="auto">
        <a:xfrm>
          <a:off x="10277475" y="28003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419100</xdr:colOff>
      <xdr:row>8</xdr:row>
      <xdr:rowOff>95250</xdr:rowOff>
    </xdr:from>
    <xdr:to>
      <xdr:col>10</xdr:col>
      <xdr:colOff>419100</xdr:colOff>
      <xdr:row>10</xdr:row>
      <xdr:rowOff>28575</xdr:rowOff>
    </xdr:to>
    <xdr:sp macro="" textlink="">
      <xdr:nvSpPr>
        <xdr:cNvPr id="2280" name="Line 7">
          <a:extLst>
            <a:ext uri="{FF2B5EF4-FFF2-40B4-BE49-F238E27FC236}">
              <a16:creationId xmlns:a16="http://schemas.microsoft.com/office/drawing/2014/main" id="{3EF22FFF-6DA9-411B-B009-D455080F1665}"/>
            </a:ext>
          </a:extLst>
        </xdr:cNvPr>
        <xdr:cNvSpPr>
          <a:spLocks noChangeShapeType="1"/>
        </xdr:cNvSpPr>
      </xdr:nvSpPr>
      <xdr:spPr bwMode="auto">
        <a:xfrm flipV="1">
          <a:off x="10239375" y="154305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342900</xdr:colOff>
      <xdr:row>6</xdr:row>
      <xdr:rowOff>38100</xdr:rowOff>
    </xdr:from>
    <xdr:to>
      <xdr:col>18</xdr:col>
      <xdr:colOff>314325</xdr:colOff>
      <xdr:row>8</xdr:row>
      <xdr:rowOff>95250</xdr:rowOff>
    </xdr:to>
    <xdr:sp macro="" textlink="">
      <xdr:nvSpPr>
        <xdr:cNvPr id="2281" name="Freeform 8">
          <a:extLst>
            <a:ext uri="{FF2B5EF4-FFF2-40B4-BE49-F238E27FC236}">
              <a16:creationId xmlns:a16="http://schemas.microsoft.com/office/drawing/2014/main" id="{7D029CB5-4F03-44B4-9FF4-DE145A626A32}"/>
            </a:ext>
          </a:extLst>
        </xdr:cNvPr>
        <xdr:cNvSpPr>
          <a:spLocks/>
        </xdr:cNvSpPr>
      </xdr:nvSpPr>
      <xdr:spPr bwMode="auto">
        <a:xfrm>
          <a:off x="11258550" y="1085850"/>
          <a:ext cx="4267200" cy="457200"/>
        </a:xfrm>
        <a:custGeom>
          <a:avLst/>
          <a:gdLst>
            <a:gd name="T0" fmla="*/ 0 w 2688"/>
            <a:gd name="T1" fmla="*/ 2147483646 h 288"/>
            <a:gd name="T2" fmla="*/ 2147483646 w 2688"/>
            <a:gd name="T3" fmla="*/ 2147483646 h 288"/>
            <a:gd name="T4" fmla="*/ 2147483646 w 2688"/>
            <a:gd name="T5" fmla="*/ 2147483646 h 288"/>
            <a:gd name="T6" fmla="*/ 2147483646 w 2688"/>
            <a:gd name="T7" fmla="*/ 0 h 288"/>
            <a:gd name="T8" fmla="*/ 2147483646 w 2688"/>
            <a:gd name="T9" fmla="*/ 0 h 288"/>
            <a:gd name="T10" fmla="*/ 2147483646 w 2688"/>
            <a:gd name="T11" fmla="*/ 0 h 288"/>
            <a:gd name="T12" fmla="*/ 2147483646 w 2688"/>
            <a:gd name="T13" fmla="*/ 2147483646 h 288"/>
            <a:gd name="T14" fmla="*/ 2147483646 w 2688"/>
            <a:gd name="T15" fmla="*/ 2147483646 h 288"/>
            <a:gd name="T16" fmla="*/ 2147483646 w 2688"/>
            <a:gd name="T17" fmla="*/ 2147483646 h 288"/>
            <a:gd name="T18" fmla="*/ 2147483646 w 2688"/>
            <a:gd name="T19" fmla="*/ 2147483646 h 288"/>
            <a:gd name="T20" fmla="*/ 0 w 2688"/>
            <a:gd name="T21" fmla="*/ 2147483646 h 28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88"/>
            <a:gd name="T34" fmla="*/ 0 h 288"/>
            <a:gd name="T35" fmla="*/ 2688 w 2688"/>
            <a:gd name="T36" fmla="*/ 288 h 28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88" h="288">
              <a:moveTo>
                <a:pt x="0" y="288"/>
              </a:moveTo>
              <a:lnTo>
                <a:pt x="240" y="144"/>
              </a:lnTo>
              <a:lnTo>
                <a:pt x="576" y="48"/>
              </a:lnTo>
              <a:lnTo>
                <a:pt x="912" y="0"/>
              </a:lnTo>
              <a:lnTo>
                <a:pt x="1344" y="0"/>
              </a:lnTo>
              <a:lnTo>
                <a:pt x="1728" y="0"/>
              </a:lnTo>
              <a:lnTo>
                <a:pt x="2016" y="48"/>
              </a:lnTo>
              <a:lnTo>
                <a:pt x="2352" y="144"/>
              </a:lnTo>
              <a:lnTo>
                <a:pt x="2448" y="192"/>
              </a:lnTo>
              <a:lnTo>
                <a:pt x="2688" y="288"/>
              </a:lnTo>
              <a:cubicBezTo>
                <a:pt x="1792" y="288"/>
                <a:pt x="896" y="288"/>
                <a:pt x="0" y="288"/>
              </a:cubicBezTo>
              <a:close/>
            </a:path>
          </a:pathLst>
        </a:custGeom>
        <a:solidFill>
          <a:srgbClr val="008000"/>
        </a:solidFill>
        <a:ln w="28575" cmpd="sng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923925</xdr:colOff>
      <xdr:row>6</xdr:row>
      <xdr:rowOff>38100</xdr:rowOff>
    </xdr:from>
    <xdr:to>
      <xdr:col>13</xdr:col>
      <xdr:colOff>9525</xdr:colOff>
      <xdr:row>6</xdr:row>
      <xdr:rowOff>38100</xdr:rowOff>
    </xdr:to>
    <xdr:sp macro="" textlink="">
      <xdr:nvSpPr>
        <xdr:cNvPr id="2282" name="Line 9">
          <a:extLst>
            <a:ext uri="{FF2B5EF4-FFF2-40B4-BE49-F238E27FC236}">
              <a16:creationId xmlns:a16="http://schemas.microsoft.com/office/drawing/2014/main" id="{6FD5B190-5A47-401C-9EEF-0615020BF6C8}"/>
            </a:ext>
          </a:extLst>
        </xdr:cNvPr>
        <xdr:cNvSpPr>
          <a:spLocks noChangeShapeType="1"/>
        </xdr:cNvSpPr>
      </xdr:nvSpPr>
      <xdr:spPr bwMode="auto">
        <a:xfrm flipH="1">
          <a:off x="8982075" y="1085850"/>
          <a:ext cx="3190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38100</xdr:rowOff>
    </xdr:from>
    <xdr:to>
      <xdr:col>9</xdr:col>
      <xdr:colOff>0</xdr:colOff>
      <xdr:row>15</xdr:row>
      <xdr:rowOff>142875</xdr:rowOff>
    </xdr:to>
    <xdr:sp macro="" textlink="">
      <xdr:nvSpPr>
        <xdr:cNvPr id="2283" name="Line 10">
          <a:extLst>
            <a:ext uri="{FF2B5EF4-FFF2-40B4-BE49-F238E27FC236}">
              <a16:creationId xmlns:a16="http://schemas.microsoft.com/office/drawing/2014/main" id="{870807A6-3E6B-4CDA-8FD8-35CAB2026D29}"/>
            </a:ext>
          </a:extLst>
        </xdr:cNvPr>
        <xdr:cNvSpPr>
          <a:spLocks noChangeShapeType="1"/>
        </xdr:cNvSpPr>
      </xdr:nvSpPr>
      <xdr:spPr bwMode="auto">
        <a:xfrm>
          <a:off x="9201150" y="234315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1152525</xdr:colOff>
      <xdr:row>6</xdr:row>
      <xdr:rowOff>38100</xdr:rowOff>
    </xdr:from>
    <xdr:to>
      <xdr:col>8</xdr:col>
      <xdr:colOff>1152525</xdr:colOff>
      <xdr:row>7</xdr:row>
      <xdr:rowOff>190500</xdr:rowOff>
    </xdr:to>
    <xdr:sp macro="" textlink="">
      <xdr:nvSpPr>
        <xdr:cNvPr id="2284" name="Line 11">
          <a:extLst>
            <a:ext uri="{FF2B5EF4-FFF2-40B4-BE49-F238E27FC236}">
              <a16:creationId xmlns:a16="http://schemas.microsoft.com/office/drawing/2014/main" id="{D2E9E5D9-C57C-4E71-B8E5-C7A027CA801F}"/>
            </a:ext>
          </a:extLst>
        </xdr:cNvPr>
        <xdr:cNvSpPr>
          <a:spLocks noChangeShapeType="1"/>
        </xdr:cNvSpPr>
      </xdr:nvSpPr>
      <xdr:spPr bwMode="auto">
        <a:xfrm flipV="1">
          <a:off x="9201150" y="108585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276225</xdr:colOff>
      <xdr:row>8</xdr:row>
      <xdr:rowOff>123825</xdr:rowOff>
    </xdr:from>
    <xdr:to>
      <xdr:col>13</xdr:col>
      <xdr:colOff>104775</xdr:colOff>
      <xdr:row>15</xdr:row>
      <xdr:rowOff>190500</xdr:rowOff>
    </xdr:to>
    <xdr:sp macro="" textlink="">
      <xdr:nvSpPr>
        <xdr:cNvPr id="2285" name="Line 12">
          <a:extLst>
            <a:ext uri="{FF2B5EF4-FFF2-40B4-BE49-F238E27FC236}">
              <a16:creationId xmlns:a16="http://schemas.microsoft.com/office/drawing/2014/main" id="{32EE0EC5-C91C-4B58-8A83-495F2FF5A6AF}"/>
            </a:ext>
          </a:extLst>
        </xdr:cNvPr>
        <xdr:cNvSpPr>
          <a:spLocks noChangeShapeType="1"/>
        </xdr:cNvSpPr>
      </xdr:nvSpPr>
      <xdr:spPr bwMode="auto">
        <a:xfrm>
          <a:off x="11191875" y="1571625"/>
          <a:ext cx="1076325" cy="158115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16</xdr:row>
      <xdr:rowOff>0</xdr:rowOff>
    </xdr:from>
    <xdr:to>
      <xdr:col>16</xdr:col>
      <xdr:colOff>457200</xdr:colOff>
      <xdr:row>16</xdr:row>
      <xdr:rowOff>0</xdr:rowOff>
    </xdr:to>
    <xdr:sp macro="" textlink="">
      <xdr:nvSpPr>
        <xdr:cNvPr id="2286" name="Line 13">
          <a:extLst>
            <a:ext uri="{FF2B5EF4-FFF2-40B4-BE49-F238E27FC236}">
              <a16:creationId xmlns:a16="http://schemas.microsoft.com/office/drawing/2014/main" id="{18487502-5791-4497-8D4C-FCBE7FBFEF1C}"/>
            </a:ext>
          </a:extLst>
        </xdr:cNvPr>
        <xdr:cNvSpPr>
          <a:spLocks noChangeShapeType="1"/>
        </xdr:cNvSpPr>
      </xdr:nvSpPr>
      <xdr:spPr bwMode="auto">
        <a:xfrm>
          <a:off x="12220575" y="3162300"/>
          <a:ext cx="22288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457200</xdr:colOff>
      <xdr:row>8</xdr:row>
      <xdr:rowOff>133350</xdr:rowOff>
    </xdr:from>
    <xdr:to>
      <xdr:col>18</xdr:col>
      <xdr:colOff>323850</xdr:colOff>
      <xdr:row>16</xdr:row>
      <xdr:rowOff>9525</xdr:rowOff>
    </xdr:to>
    <xdr:sp macro="" textlink="">
      <xdr:nvSpPr>
        <xdr:cNvPr id="2287" name="Line 14">
          <a:extLst>
            <a:ext uri="{FF2B5EF4-FFF2-40B4-BE49-F238E27FC236}">
              <a16:creationId xmlns:a16="http://schemas.microsoft.com/office/drawing/2014/main" id="{5CDBAE9F-7664-49CB-9B28-38BEA882F8E0}"/>
            </a:ext>
          </a:extLst>
        </xdr:cNvPr>
        <xdr:cNvSpPr>
          <a:spLocks noChangeShapeType="1"/>
        </xdr:cNvSpPr>
      </xdr:nvSpPr>
      <xdr:spPr bwMode="auto">
        <a:xfrm flipH="1">
          <a:off x="14449425" y="1581150"/>
          <a:ext cx="1085850" cy="1590675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388620</xdr:colOff>
      <xdr:row>10</xdr:row>
      <xdr:rowOff>144780</xdr:rowOff>
    </xdr:from>
    <xdr:ext cx="1800429" cy="43621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CC57B82C-DC7F-4107-A6A8-BA5A70AB1F39}"/>
            </a:ext>
          </a:extLst>
        </xdr:cNvPr>
        <xdr:cNvSpPr txBox="1">
          <a:spLocks noChangeArrowheads="1"/>
        </xdr:cNvSpPr>
      </xdr:nvSpPr>
      <xdr:spPr bwMode="auto">
        <a:xfrm>
          <a:off x="12555220" y="2024380"/>
          <a:ext cx="1800429" cy="43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en-US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Horizontal Silo</a:t>
          </a: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8</xdr:row>
      <xdr:rowOff>95250</xdr:rowOff>
    </xdr:from>
    <xdr:to>
      <xdr:col>17</xdr:col>
      <xdr:colOff>476250</xdr:colOff>
      <xdr:row>15</xdr:row>
      <xdr:rowOff>142875</xdr:rowOff>
    </xdr:to>
    <xdr:sp macro="" textlink="">
      <xdr:nvSpPr>
        <xdr:cNvPr id="4292" name="AutoShape 1">
          <a:extLst>
            <a:ext uri="{FF2B5EF4-FFF2-40B4-BE49-F238E27FC236}">
              <a16:creationId xmlns:a16="http://schemas.microsoft.com/office/drawing/2014/main" id="{00B35096-AD9D-4B98-857D-4682E09EC461}"/>
            </a:ext>
          </a:extLst>
        </xdr:cNvPr>
        <xdr:cNvSpPr>
          <a:spLocks noChangeArrowheads="1"/>
        </xdr:cNvSpPr>
      </xdr:nvSpPr>
      <xdr:spPr bwMode="auto">
        <a:xfrm>
          <a:off x="10601325" y="1543050"/>
          <a:ext cx="4267200" cy="1562100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163195</xdr:colOff>
      <xdr:row>7</xdr:row>
      <xdr:rowOff>154940</xdr:rowOff>
    </xdr:from>
    <xdr:ext cx="1698157" cy="46185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3FD36F-CBC1-4F6A-B2FE-BFB739389BB1}"/>
            </a:ext>
          </a:extLst>
        </xdr:cNvPr>
        <xdr:cNvSpPr txBox="1">
          <a:spLocks noChangeArrowheads="1"/>
        </xdr:cNvSpPr>
      </xdr:nvSpPr>
      <xdr:spPr bwMode="auto">
        <a:xfrm>
          <a:off x="8060085" y="1417556"/>
          <a:ext cx="1698157" cy="461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Altura</a:t>
          </a: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maxima (pies) </a:t>
          </a:r>
        </a:p>
      </xdr:txBody>
    </xdr:sp>
    <xdr:clientData/>
  </xdr:oneCellAnchor>
  <xdr:twoCellAnchor>
    <xdr:from>
      <xdr:col>9</xdr:col>
      <xdr:colOff>47625</xdr:colOff>
      <xdr:row>8</xdr:row>
      <xdr:rowOff>95250</xdr:rowOff>
    </xdr:from>
    <xdr:to>
      <xdr:col>12</xdr:col>
      <xdr:colOff>95250</xdr:colOff>
      <xdr:row>8</xdr:row>
      <xdr:rowOff>95250</xdr:rowOff>
    </xdr:to>
    <xdr:sp macro="" textlink="">
      <xdr:nvSpPr>
        <xdr:cNvPr id="4294" name="Line 3">
          <a:extLst>
            <a:ext uri="{FF2B5EF4-FFF2-40B4-BE49-F238E27FC236}">
              <a16:creationId xmlns:a16="http://schemas.microsoft.com/office/drawing/2014/main" id="{AD8AC628-04EC-4BA8-A165-0BEAD16F3320}"/>
            </a:ext>
          </a:extLst>
        </xdr:cNvPr>
        <xdr:cNvSpPr>
          <a:spLocks noChangeShapeType="1"/>
        </xdr:cNvSpPr>
      </xdr:nvSpPr>
      <xdr:spPr bwMode="auto">
        <a:xfrm flipH="1">
          <a:off x="9172575" y="1543050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409575</xdr:colOff>
      <xdr:row>15</xdr:row>
      <xdr:rowOff>142875</xdr:rowOff>
    </xdr:from>
    <xdr:to>
      <xdr:col>12</xdr:col>
      <xdr:colOff>95250</xdr:colOff>
      <xdr:row>15</xdr:row>
      <xdr:rowOff>142875</xdr:rowOff>
    </xdr:to>
    <xdr:sp macro="" textlink="">
      <xdr:nvSpPr>
        <xdr:cNvPr id="4295" name="Line 4">
          <a:extLst>
            <a:ext uri="{FF2B5EF4-FFF2-40B4-BE49-F238E27FC236}">
              <a16:creationId xmlns:a16="http://schemas.microsoft.com/office/drawing/2014/main" id="{BC77D36A-9B11-4391-9FBD-2CB95A5A8790}"/>
            </a:ext>
          </a:extLst>
        </xdr:cNvPr>
        <xdr:cNvSpPr>
          <a:spLocks noChangeShapeType="1"/>
        </xdr:cNvSpPr>
      </xdr:nvSpPr>
      <xdr:spPr bwMode="auto">
        <a:xfrm flipH="1">
          <a:off x="8305800" y="3105150"/>
          <a:ext cx="3133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153670</xdr:colOff>
      <xdr:row>10</xdr:row>
      <xdr:rowOff>0</xdr:rowOff>
    </xdr:from>
    <xdr:ext cx="1350883" cy="461858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72F55F7-28ED-4E53-8D2E-3D6B4B49A18D}"/>
            </a:ext>
          </a:extLst>
        </xdr:cNvPr>
        <xdr:cNvSpPr txBox="1">
          <a:spLocks noChangeArrowheads="1"/>
        </xdr:cNvSpPr>
      </xdr:nvSpPr>
      <xdr:spPr bwMode="auto">
        <a:xfrm>
          <a:off x="9279949" y="1860698"/>
          <a:ext cx="1350883" cy="461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Altura </a:t>
          </a:r>
        </a:p>
        <a:p>
          <a:pPr algn="l" rtl="0">
            <a:lnSpc>
              <a:spcPts val="1100"/>
            </a:lnSpc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pared</a:t>
          </a: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(pies)</a:t>
          </a:r>
        </a:p>
      </xdr:txBody>
    </xdr:sp>
    <xdr:clientData/>
  </xdr:oneCellAnchor>
  <xdr:twoCellAnchor>
    <xdr:from>
      <xdr:col>9</xdr:col>
      <xdr:colOff>438150</xdr:colOff>
      <xdr:row>14</xdr:row>
      <xdr:rowOff>0</xdr:rowOff>
    </xdr:from>
    <xdr:to>
      <xdr:col>9</xdr:col>
      <xdr:colOff>438150</xdr:colOff>
      <xdr:row>15</xdr:row>
      <xdr:rowOff>142875</xdr:rowOff>
    </xdr:to>
    <xdr:sp macro="" textlink="">
      <xdr:nvSpPr>
        <xdr:cNvPr id="4297" name="Line 6">
          <a:extLst>
            <a:ext uri="{FF2B5EF4-FFF2-40B4-BE49-F238E27FC236}">
              <a16:creationId xmlns:a16="http://schemas.microsoft.com/office/drawing/2014/main" id="{8E10EF8A-C19F-48D8-BB1B-09B454E57ACD}"/>
            </a:ext>
          </a:extLst>
        </xdr:cNvPr>
        <xdr:cNvSpPr>
          <a:spLocks noChangeShapeType="1"/>
        </xdr:cNvSpPr>
      </xdr:nvSpPr>
      <xdr:spPr bwMode="auto">
        <a:xfrm>
          <a:off x="9563100" y="27622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8</xdr:row>
      <xdr:rowOff>95250</xdr:rowOff>
    </xdr:from>
    <xdr:to>
      <xdr:col>9</xdr:col>
      <xdr:colOff>438150</xdr:colOff>
      <xdr:row>10</xdr:row>
      <xdr:rowOff>38100</xdr:rowOff>
    </xdr:to>
    <xdr:sp macro="" textlink="">
      <xdr:nvSpPr>
        <xdr:cNvPr id="4298" name="Line 7">
          <a:extLst>
            <a:ext uri="{FF2B5EF4-FFF2-40B4-BE49-F238E27FC236}">
              <a16:creationId xmlns:a16="http://schemas.microsoft.com/office/drawing/2014/main" id="{91B67754-05A4-4741-8871-38E10331CC7F}"/>
            </a:ext>
          </a:extLst>
        </xdr:cNvPr>
        <xdr:cNvSpPr>
          <a:spLocks noChangeShapeType="1"/>
        </xdr:cNvSpPr>
      </xdr:nvSpPr>
      <xdr:spPr bwMode="auto">
        <a:xfrm flipV="1">
          <a:off x="9563100" y="1543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495300</xdr:colOff>
      <xdr:row>6</xdr:row>
      <xdr:rowOff>38100</xdr:rowOff>
    </xdr:from>
    <xdr:to>
      <xdr:col>17</xdr:col>
      <xdr:colOff>476250</xdr:colOff>
      <xdr:row>8</xdr:row>
      <xdr:rowOff>95250</xdr:rowOff>
    </xdr:to>
    <xdr:sp macro="" textlink="">
      <xdr:nvSpPr>
        <xdr:cNvPr id="4299" name="Freeform 8">
          <a:extLst>
            <a:ext uri="{FF2B5EF4-FFF2-40B4-BE49-F238E27FC236}">
              <a16:creationId xmlns:a16="http://schemas.microsoft.com/office/drawing/2014/main" id="{A9FDA0ED-5EFA-4F02-953C-6C9F163D44CC}"/>
            </a:ext>
          </a:extLst>
        </xdr:cNvPr>
        <xdr:cNvSpPr>
          <a:spLocks/>
        </xdr:cNvSpPr>
      </xdr:nvSpPr>
      <xdr:spPr bwMode="auto">
        <a:xfrm>
          <a:off x="10601325" y="1085850"/>
          <a:ext cx="4267200" cy="457200"/>
        </a:xfrm>
        <a:custGeom>
          <a:avLst/>
          <a:gdLst>
            <a:gd name="T0" fmla="*/ 0 w 2688"/>
            <a:gd name="T1" fmla="*/ 2147483646 h 288"/>
            <a:gd name="T2" fmla="*/ 2147483646 w 2688"/>
            <a:gd name="T3" fmla="*/ 2147483646 h 288"/>
            <a:gd name="T4" fmla="*/ 2147483646 w 2688"/>
            <a:gd name="T5" fmla="*/ 2147483646 h 288"/>
            <a:gd name="T6" fmla="*/ 2147483646 w 2688"/>
            <a:gd name="T7" fmla="*/ 0 h 288"/>
            <a:gd name="T8" fmla="*/ 2147483646 w 2688"/>
            <a:gd name="T9" fmla="*/ 0 h 288"/>
            <a:gd name="T10" fmla="*/ 2147483646 w 2688"/>
            <a:gd name="T11" fmla="*/ 0 h 288"/>
            <a:gd name="T12" fmla="*/ 2147483646 w 2688"/>
            <a:gd name="T13" fmla="*/ 2147483646 h 288"/>
            <a:gd name="T14" fmla="*/ 2147483646 w 2688"/>
            <a:gd name="T15" fmla="*/ 2147483646 h 288"/>
            <a:gd name="T16" fmla="*/ 2147483646 w 2688"/>
            <a:gd name="T17" fmla="*/ 2147483646 h 288"/>
            <a:gd name="T18" fmla="*/ 2147483646 w 2688"/>
            <a:gd name="T19" fmla="*/ 2147483646 h 288"/>
            <a:gd name="T20" fmla="*/ 0 w 2688"/>
            <a:gd name="T21" fmla="*/ 2147483646 h 28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88"/>
            <a:gd name="T34" fmla="*/ 0 h 288"/>
            <a:gd name="T35" fmla="*/ 2688 w 2688"/>
            <a:gd name="T36" fmla="*/ 288 h 28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88" h="288">
              <a:moveTo>
                <a:pt x="0" y="288"/>
              </a:moveTo>
              <a:lnTo>
                <a:pt x="240" y="144"/>
              </a:lnTo>
              <a:lnTo>
                <a:pt x="576" y="48"/>
              </a:lnTo>
              <a:lnTo>
                <a:pt x="912" y="0"/>
              </a:lnTo>
              <a:lnTo>
                <a:pt x="1344" y="0"/>
              </a:lnTo>
              <a:lnTo>
                <a:pt x="1728" y="0"/>
              </a:lnTo>
              <a:lnTo>
                <a:pt x="2016" y="48"/>
              </a:lnTo>
              <a:lnTo>
                <a:pt x="2352" y="144"/>
              </a:lnTo>
              <a:lnTo>
                <a:pt x="2448" y="192"/>
              </a:lnTo>
              <a:lnTo>
                <a:pt x="2688" y="288"/>
              </a:lnTo>
              <a:cubicBezTo>
                <a:pt x="1792" y="288"/>
                <a:pt x="896" y="288"/>
                <a:pt x="0" y="288"/>
              </a:cubicBezTo>
              <a:close/>
            </a:path>
          </a:pathLst>
        </a:custGeom>
        <a:solidFill>
          <a:srgbClr val="008000"/>
        </a:solidFill>
        <a:ln w="28575" cmpd="sng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</xdr:row>
      <xdr:rowOff>38100</xdr:rowOff>
    </xdr:from>
    <xdr:to>
      <xdr:col>12</xdr:col>
      <xdr:colOff>161925</xdr:colOff>
      <xdr:row>6</xdr:row>
      <xdr:rowOff>38100</xdr:rowOff>
    </xdr:to>
    <xdr:sp macro="" textlink="">
      <xdr:nvSpPr>
        <xdr:cNvPr id="4300" name="Line 9">
          <a:extLst>
            <a:ext uri="{FF2B5EF4-FFF2-40B4-BE49-F238E27FC236}">
              <a16:creationId xmlns:a16="http://schemas.microsoft.com/office/drawing/2014/main" id="{32351B5A-983D-4FD6-B78C-390AE2929FC4}"/>
            </a:ext>
          </a:extLst>
        </xdr:cNvPr>
        <xdr:cNvSpPr>
          <a:spLocks noChangeShapeType="1"/>
        </xdr:cNvSpPr>
      </xdr:nvSpPr>
      <xdr:spPr bwMode="auto">
        <a:xfrm flipH="1">
          <a:off x="8382000" y="1085850"/>
          <a:ext cx="312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714375</xdr:colOff>
      <xdr:row>12</xdr:row>
      <xdr:rowOff>142875</xdr:rowOff>
    </xdr:from>
    <xdr:to>
      <xdr:col>8</xdr:col>
      <xdr:colOff>714375</xdr:colOff>
      <xdr:row>15</xdr:row>
      <xdr:rowOff>142875</xdr:rowOff>
    </xdr:to>
    <xdr:sp macro="" textlink="">
      <xdr:nvSpPr>
        <xdr:cNvPr id="4301" name="Line 10">
          <a:extLst>
            <a:ext uri="{FF2B5EF4-FFF2-40B4-BE49-F238E27FC236}">
              <a16:creationId xmlns:a16="http://schemas.microsoft.com/office/drawing/2014/main" id="{197B15F9-74AB-4FE0-86A8-9C33C0A69E87}"/>
            </a:ext>
          </a:extLst>
        </xdr:cNvPr>
        <xdr:cNvSpPr>
          <a:spLocks noChangeShapeType="1"/>
        </xdr:cNvSpPr>
      </xdr:nvSpPr>
      <xdr:spPr bwMode="auto">
        <a:xfrm>
          <a:off x="8610600" y="2447925"/>
          <a:ext cx="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714375</xdr:colOff>
      <xdr:row>6</xdr:row>
      <xdr:rowOff>38100</xdr:rowOff>
    </xdr:from>
    <xdr:to>
      <xdr:col>8</xdr:col>
      <xdr:colOff>714375</xdr:colOff>
      <xdr:row>8</xdr:row>
      <xdr:rowOff>66675</xdr:rowOff>
    </xdr:to>
    <xdr:sp macro="" textlink="">
      <xdr:nvSpPr>
        <xdr:cNvPr id="4302" name="Line 11">
          <a:extLst>
            <a:ext uri="{FF2B5EF4-FFF2-40B4-BE49-F238E27FC236}">
              <a16:creationId xmlns:a16="http://schemas.microsoft.com/office/drawing/2014/main" id="{FDB3FCC0-F9D8-4576-9639-4657A8866F92}"/>
            </a:ext>
          </a:extLst>
        </xdr:cNvPr>
        <xdr:cNvSpPr>
          <a:spLocks noChangeShapeType="1"/>
        </xdr:cNvSpPr>
      </xdr:nvSpPr>
      <xdr:spPr bwMode="auto">
        <a:xfrm flipV="1">
          <a:off x="8610600" y="1085850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485775</xdr:colOff>
      <xdr:row>8</xdr:row>
      <xdr:rowOff>123825</xdr:rowOff>
    </xdr:from>
    <xdr:to>
      <xdr:col>12</xdr:col>
      <xdr:colOff>323850</xdr:colOff>
      <xdr:row>15</xdr:row>
      <xdr:rowOff>180975</xdr:rowOff>
    </xdr:to>
    <xdr:sp macro="" textlink="">
      <xdr:nvSpPr>
        <xdr:cNvPr id="4303" name="Line 12">
          <a:extLst>
            <a:ext uri="{FF2B5EF4-FFF2-40B4-BE49-F238E27FC236}">
              <a16:creationId xmlns:a16="http://schemas.microsoft.com/office/drawing/2014/main" id="{44343BB8-5EA6-45ED-B4E7-991AD8022A1B}"/>
            </a:ext>
          </a:extLst>
        </xdr:cNvPr>
        <xdr:cNvSpPr>
          <a:spLocks noChangeShapeType="1"/>
        </xdr:cNvSpPr>
      </xdr:nvSpPr>
      <xdr:spPr bwMode="auto">
        <a:xfrm>
          <a:off x="10591800" y="1571625"/>
          <a:ext cx="1076325" cy="1571625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15</xdr:row>
      <xdr:rowOff>180975</xdr:rowOff>
    </xdr:from>
    <xdr:to>
      <xdr:col>16</xdr:col>
      <xdr:colOff>66675</xdr:colOff>
      <xdr:row>15</xdr:row>
      <xdr:rowOff>180975</xdr:rowOff>
    </xdr:to>
    <xdr:sp macro="" textlink="">
      <xdr:nvSpPr>
        <xdr:cNvPr id="4304" name="Line 13">
          <a:extLst>
            <a:ext uri="{FF2B5EF4-FFF2-40B4-BE49-F238E27FC236}">
              <a16:creationId xmlns:a16="http://schemas.microsoft.com/office/drawing/2014/main" id="{D959FC5D-63E8-4DB7-92C3-F228DAC5678B}"/>
            </a:ext>
          </a:extLst>
        </xdr:cNvPr>
        <xdr:cNvSpPr>
          <a:spLocks noChangeShapeType="1"/>
        </xdr:cNvSpPr>
      </xdr:nvSpPr>
      <xdr:spPr bwMode="auto">
        <a:xfrm>
          <a:off x="11620500" y="3143250"/>
          <a:ext cx="22288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8</xdr:row>
      <xdr:rowOff>123825</xdr:rowOff>
    </xdr:from>
    <xdr:to>
      <xdr:col>17</xdr:col>
      <xdr:colOff>542925</xdr:colOff>
      <xdr:row>16</xdr:row>
      <xdr:rowOff>19050</xdr:rowOff>
    </xdr:to>
    <xdr:sp macro="" textlink="">
      <xdr:nvSpPr>
        <xdr:cNvPr id="4305" name="Line 14">
          <a:extLst>
            <a:ext uri="{FF2B5EF4-FFF2-40B4-BE49-F238E27FC236}">
              <a16:creationId xmlns:a16="http://schemas.microsoft.com/office/drawing/2014/main" id="{660A44FA-37A4-41D8-BC2B-86EC906E6698}"/>
            </a:ext>
          </a:extLst>
        </xdr:cNvPr>
        <xdr:cNvSpPr>
          <a:spLocks noChangeShapeType="1"/>
        </xdr:cNvSpPr>
      </xdr:nvSpPr>
      <xdr:spPr bwMode="auto">
        <a:xfrm flipH="1">
          <a:off x="13811250" y="1571625"/>
          <a:ext cx="1123950" cy="1609725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593090</xdr:colOff>
      <xdr:row>11</xdr:row>
      <xdr:rowOff>45720</xdr:rowOff>
    </xdr:from>
    <xdr:to>
      <xdr:col>15</xdr:col>
      <xdr:colOff>495917</xdr:colOff>
      <xdr:row>12</xdr:row>
      <xdr:rowOff>116705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0279C6B-CD0B-4B08-94FF-BB06E5458409}"/>
            </a:ext>
          </a:extLst>
        </xdr:cNvPr>
        <xdr:cNvSpPr txBox="1">
          <a:spLocks noChangeArrowheads="1"/>
        </xdr:cNvSpPr>
      </xdr:nvSpPr>
      <xdr:spPr bwMode="auto">
        <a:xfrm>
          <a:off x="12255500" y="2103120"/>
          <a:ext cx="1767840" cy="33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rPr>
            <a:t>Silo Horizontal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6</xdr:row>
      <xdr:rowOff>66675</xdr:rowOff>
    </xdr:from>
    <xdr:to>
      <xdr:col>17</xdr:col>
      <xdr:colOff>295275</xdr:colOff>
      <xdr:row>12</xdr:row>
      <xdr:rowOff>152400</xdr:rowOff>
    </xdr:to>
    <xdr:sp macro="" textlink="">
      <xdr:nvSpPr>
        <xdr:cNvPr id="3298" name="AutoShape 1">
          <a:extLst>
            <a:ext uri="{FF2B5EF4-FFF2-40B4-BE49-F238E27FC236}">
              <a16:creationId xmlns:a16="http://schemas.microsoft.com/office/drawing/2014/main" id="{1302C7B3-5304-4059-ADDF-D4A6A50E9052}"/>
            </a:ext>
          </a:extLst>
        </xdr:cNvPr>
        <xdr:cNvSpPr>
          <a:spLocks noChangeArrowheads="1"/>
        </xdr:cNvSpPr>
      </xdr:nvSpPr>
      <xdr:spPr bwMode="auto">
        <a:xfrm>
          <a:off x="13544550" y="1428750"/>
          <a:ext cx="4267200" cy="1590675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295275</xdr:colOff>
      <xdr:row>6</xdr:row>
      <xdr:rowOff>38100</xdr:rowOff>
    </xdr:from>
    <xdr:ext cx="1723933" cy="686278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51803CC7-48F1-43F1-BB3D-256651ABF35E}"/>
            </a:ext>
          </a:extLst>
        </xdr:cNvPr>
        <xdr:cNvSpPr txBox="1">
          <a:spLocks noChangeArrowheads="1"/>
        </xdr:cNvSpPr>
      </xdr:nvSpPr>
      <xdr:spPr bwMode="auto">
        <a:xfrm>
          <a:off x="10683875" y="1422400"/>
          <a:ext cx="1723933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FF0000"/>
              </a:solidFill>
              <a:latin typeface="Arial"/>
              <a:cs typeface="Arial"/>
            </a:rPr>
            <a:t>Altura Maxima 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FF0000"/>
              </a:solidFill>
              <a:latin typeface="Arial"/>
              <a:cs typeface="Arial"/>
            </a:rPr>
            <a:t>del Silo (m)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495300</xdr:colOff>
      <xdr:row>6</xdr:row>
      <xdr:rowOff>66675</xdr:rowOff>
    </xdr:from>
    <xdr:to>
      <xdr:col>11</xdr:col>
      <xdr:colOff>523875</xdr:colOff>
      <xdr:row>6</xdr:row>
      <xdr:rowOff>66675</xdr:rowOff>
    </xdr:to>
    <xdr:sp macro="" textlink="">
      <xdr:nvSpPr>
        <xdr:cNvPr id="3300" name="Line 3">
          <a:extLst>
            <a:ext uri="{FF2B5EF4-FFF2-40B4-BE49-F238E27FC236}">
              <a16:creationId xmlns:a16="http://schemas.microsoft.com/office/drawing/2014/main" id="{D9269310-3BF1-4DC2-9487-900E60BF20E0}"/>
            </a:ext>
          </a:extLst>
        </xdr:cNvPr>
        <xdr:cNvSpPr>
          <a:spLocks noChangeShapeType="1"/>
        </xdr:cNvSpPr>
      </xdr:nvSpPr>
      <xdr:spPr bwMode="auto">
        <a:xfrm flipH="1">
          <a:off x="12192000" y="14287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12</xdr:row>
      <xdr:rowOff>152400</xdr:rowOff>
    </xdr:from>
    <xdr:to>
      <xdr:col>11</xdr:col>
      <xdr:colOff>523875</xdr:colOff>
      <xdr:row>12</xdr:row>
      <xdr:rowOff>152400</xdr:rowOff>
    </xdr:to>
    <xdr:sp macro="" textlink="">
      <xdr:nvSpPr>
        <xdr:cNvPr id="3301" name="Line 4">
          <a:extLst>
            <a:ext uri="{FF2B5EF4-FFF2-40B4-BE49-F238E27FC236}">
              <a16:creationId xmlns:a16="http://schemas.microsoft.com/office/drawing/2014/main" id="{18A3343C-471D-4B9B-A8A5-155C0BCFEBCF}"/>
            </a:ext>
          </a:extLst>
        </xdr:cNvPr>
        <xdr:cNvSpPr>
          <a:spLocks noChangeShapeType="1"/>
        </xdr:cNvSpPr>
      </xdr:nvSpPr>
      <xdr:spPr bwMode="auto">
        <a:xfrm flipH="1">
          <a:off x="10896600" y="3019425"/>
          <a:ext cx="348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601980</xdr:colOff>
      <xdr:row>6</xdr:row>
      <xdr:rowOff>160020</xdr:rowOff>
    </xdr:from>
    <xdr:ext cx="1159805" cy="686278"/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1A54F4B9-BA74-41B0-A1F0-6D4C56179C59}"/>
            </a:ext>
          </a:extLst>
        </xdr:cNvPr>
        <xdr:cNvSpPr txBox="1">
          <a:spLocks noChangeArrowheads="1"/>
        </xdr:cNvSpPr>
      </xdr:nvSpPr>
      <xdr:spPr bwMode="auto">
        <a:xfrm>
          <a:off x="12311380" y="1544320"/>
          <a:ext cx="1159805" cy="68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FF0000"/>
              </a:solidFill>
              <a:latin typeface="Arial"/>
              <a:cs typeface="Arial"/>
            </a:rPr>
            <a:t>Altura del</a:t>
          </a:r>
        </a:p>
        <a:p>
          <a:pPr algn="l" rtl="0">
            <a:lnSpc>
              <a:spcPts val="1500"/>
            </a:lnSpc>
            <a:defRPr sz="1000"/>
          </a:pPr>
          <a:r>
            <a:rPr lang="en-US" sz="1800" b="0" i="0" u="none" strike="noStrike" baseline="0">
              <a:solidFill>
                <a:srgbClr val="FF0000"/>
              </a:solidFill>
              <a:latin typeface="Arial"/>
              <a:cs typeface="Arial"/>
            </a:rPr>
            <a:t>Muro (m)</a:t>
          </a:r>
        </a:p>
        <a:p>
          <a:pPr algn="l" rtl="0">
            <a:lnSpc>
              <a:spcPts val="1300"/>
            </a:lnSpc>
            <a:defRPr sz="1000"/>
          </a:pPr>
          <a:endParaRPr lang="en-US" sz="1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9</xdr:col>
      <xdr:colOff>533400</xdr:colOff>
      <xdr:row>11</xdr:row>
      <xdr:rowOff>85725</xdr:rowOff>
    </xdr:from>
    <xdr:to>
      <xdr:col>9</xdr:col>
      <xdr:colOff>533400</xdr:colOff>
      <xdr:row>12</xdr:row>
      <xdr:rowOff>152400</xdr:rowOff>
    </xdr:to>
    <xdr:sp macro="" textlink="">
      <xdr:nvSpPr>
        <xdr:cNvPr id="3303" name="Line 6">
          <a:extLst>
            <a:ext uri="{FF2B5EF4-FFF2-40B4-BE49-F238E27FC236}">
              <a16:creationId xmlns:a16="http://schemas.microsoft.com/office/drawing/2014/main" id="{31442BA5-19BA-45FB-BF05-FC8C1AB88AA4}"/>
            </a:ext>
          </a:extLst>
        </xdr:cNvPr>
        <xdr:cNvSpPr>
          <a:spLocks noChangeShapeType="1"/>
        </xdr:cNvSpPr>
      </xdr:nvSpPr>
      <xdr:spPr bwMode="auto">
        <a:xfrm>
          <a:off x="12944475" y="25622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542925</xdr:colOff>
      <xdr:row>6</xdr:row>
      <xdr:rowOff>66675</xdr:rowOff>
    </xdr:from>
    <xdr:to>
      <xdr:col>9</xdr:col>
      <xdr:colOff>542925</xdr:colOff>
      <xdr:row>7</xdr:row>
      <xdr:rowOff>123825</xdr:rowOff>
    </xdr:to>
    <xdr:sp macro="" textlink="">
      <xdr:nvSpPr>
        <xdr:cNvPr id="3304" name="Line 7">
          <a:extLst>
            <a:ext uri="{FF2B5EF4-FFF2-40B4-BE49-F238E27FC236}">
              <a16:creationId xmlns:a16="http://schemas.microsoft.com/office/drawing/2014/main" id="{395A1E54-7542-4A46-AC1E-E813E0EC9116}"/>
            </a:ext>
          </a:extLst>
        </xdr:cNvPr>
        <xdr:cNvSpPr>
          <a:spLocks noChangeShapeType="1"/>
        </xdr:cNvSpPr>
      </xdr:nvSpPr>
      <xdr:spPr bwMode="auto">
        <a:xfrm flipV="1">
          <a:off x="12954000" y="142875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4</xdr:row>
      <xdr:rowOff>9525</xdr:rowOff>
    </xdr:from>
    <xdr:to>
      <xdr:col>17</xdr:col>
      <xdr:colOff>295275</xdr:colOff>
      <xdr:row>6</xdr:row>
      <xdr:rowOff>66675</xdr:rowOff>
    </xdr:to>
    <xdr:sp macro="" textlink="">
      <xdr:nvSpPr>
        <xdr:cNvPr id="3305" name="Freeform 8">
          <a:extLst>
            <a:ext uri="{FF2B5EF4-FFF2-40B4-BE49-F238E27FC236}">
              <a16:creationId xmlns:a16="http://schemas.microsoft.com/office/drawing/2014/main" id="{08DCBBB3-DF0B-49DC-9236-CFF4B6D39B26}"/>
            </a:ext>
          </a:extLst>
        </xdr:cNvPr>
        <xdr:cNvSpPr>
          <a:spLocks/>
        </xdr:cNvSpPr>
      </xdr:nvSpPr>
      <xdr:spPr bwMode="auto">
        <a:xfrm>
          <a:off x="13544550" y="971550"/>
          <a:ext cx="4267200" cy="457200"/>
        </a:xfrm>
        <a:custGeom>
          <a:avLst/>
          <a:gdLst>
            <a:gd name="T0" fmla="*/ 0 w 2688"/>
            <a:gd name="T1" fmla="*/ 2147483646 h 288"/>
            <a:gd name="T2" fmla="*/ 2147483646 w 2688"/>
            <a:gd name="T3" fmla="*/ 2147483646 h 288"/>
            <a:gd name="T4" fmla="*/ 2147483646 w 2688"/>
            <a:gd name="T5" fmla="*/ 2147483646 h 288"/>
            <a:gd name="T6" fmla="*/ 2147483646 w 2688"/>
            <a:gd name="T7" fmla="*/ 0 h 288"/>
            <a:gd name="T8" fmla="*/ 2147483646 w 2688"/>
            <a:gd name="T9" fmla="*/ 0 h 288"/>
            <a:gd name="T10" fmla="*/ 2147483646 w 2688"/>
            <a:gd name="T11" fmla="*/ 0 h 288"/>
            <a:gd name="T12" fmla="*/ 2147483646 w 2688"/>
            <a:gd name="T13" fmla="*/ 2147483646 h 288"/>
            <a:gd name="T14" fmla="*/ 2147483646 w 2688"/>
            <a:gd name="T15" fmla="*/ 2147483646 h 288"/>
            <a:gd name="T16" fmla="*/ 2147483646 w 2688"/>
            <a:gd name="T17" fmla="*/ 2147483646 h 288"/>
            <a:gd name="T18" fmla="*/ 2147483646 w 2688"/>
            <a:gd name="T19" fmla="*/ 2147483646 h 288"/>
            <a:gd name="T20" fmla="*/ 0 w 2688"/>
            <a:gd name="T21" fmla="*/ 2147483646 h 28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88"/>
            <a:gd name="T34" fmla="*/ 0 h 288"/>
            <a:gd name="T35" fmla="*/ 2688 w 2688"/>
            <a:gd name="T36" fmla="*/ 288 h 28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88" h="288">
              <a:moveTo>
                <a:pt x="0" y="288"/>
              </a:moveTo>
              <a:lnTo>
                <a:pt x="240" y="144"/>
              </a:lnTo>
              <a:lnTo>
                <a:pt x="576" y="48"/>
              </a:lnTo>
              <a:lnTo>
                <a:pt x="912" y="0"/>
              </a:lnTo>
              <a:lnTo>
                <a:pt x="1344" y="0"/>
              </a:lnTo>
              <a:lnTo>
                <a:pt x="1728" y="0"/>
              </a:lnTo>
              <a:lnTo>
                <a:pt x="2016" y="48"/>
              </a:lnTo>
              <a:lnTo>
                <a:pt x="2352" y="144"/>
              </a:lnTo>
              <a:lnTo>
                <a:pt x="2448" y="192"/>
              </a:lnTo>
              <a:lnTo>
                <a:pt x="2688" y="288"/>
              </a:lnTo>
              <a:cubicBezTo>
                <a:pt x="1792" y="288"/>
                <a:pt x="896" y="288"/>
                <a:pt x="0" y="288"/>
              </a:cubicBezTo>
              <a:close/>
            </a:path>
          </a:pathLst>
        </a:custGeom>
        <a:solidFill>
          <a:srgbClr val="008000"/>
        </a:solidFill>
        <a:ln w="28575" cmpd="sng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590550</xdr:colOff>
      <xdr:row>4</xdr:row>
      <xdr:rowOff>9525</xdr:rowOff>
    </xdr:from>
    <xdr:to>
      <xdr:col>11</xdr:col>
      <xdr:colOff>600075</xdr:colOff>
      <xdr:row>4</xdr:row>
      <xdr:rowOff>9525</xdr:rowOff>
    </xdr:to>
    <xdr:sp macro="" textlink="">
      <xdr:nvSpPr>
        <xdr:cNvPr id="3306" name="Line 9">
          <a:extLst>
            <a:ext uri="{FF2B5EF4-FFF2-40B4-BE49-F238E27FC236}">
              <a16:creationId xmlns:a16="http://schemas.microsoft.com/office/drawing/2014/main" id="{66F6A0D2-2F48-4216-A2C8-C9D63CD1E9BD}"/>
            </a:ext>
          </a:extLst>
        </xdr:cNvPr>
        <xdr:cNvSpPr>
          <a:spLocks noChangeShapeType="1"/>
        </xdr:cNvSpPr>
      </xdr:nvSpPr>
      <xdr:spPr bwMode="auto">
        <a:xfrm flipH="1">
          <a:off x="10972800" y="971550"/>
          <a:ext cx="348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11</xdr:row>
      <xdr:rowOff>28575</xdr:rowOff>
    </xdr:from>
    <xdr:to>
      <xdr:col>7</xdr:col>
      <xdr:colOff>180975</xdr:colOff>
      <xdr:row>12</xdr:row>
      <xdr:rowOff>152400</xdr:rowOff>
    </xdr:to>
    <xdr:sp macro="" textlink="">
      <xdr:nvSpPr>
        <xdr:cNvPr id="3307" name="Line 10">
          <a:extLst>
            <a:ext uri="{FF2B5EF4-FFF2-40B4-BE49-F238E27FC236}">
              <a16:creationId xmlns:a16="http://schemas.microsoft.com/office/drawing/2014/main" id="{5C6248D3-3CDB-4FCB-A220-F79F51E09A87}"/>
            </a:ext>
          </a:extLst>
        </xdr:cNvPr>
        <xdr:cNvSpPr>
          <a:spLocks noChangeShapeType="1"/>
        </xdr:cNvSpPr>
      </xdr:nvSpPr>
      <xdr:spPr bwMode="auto">
        <a:xfrm flipH="1">
          <a:off x="11201400" y="2505075"/>
          <a:ext cx="190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4</xdr:row>
      <xdr:rowOff>9525</xdr:rowOff>
    </xdr:from>
    <xdr:to>
      <xdr:col>7</xdr:col>
      <xdr:colOff>161925</xdr:colOff>
      <xdr:row>6</xdr:row>
      <xdr:rowOff>142875</xdr:rowOff>
    </xdr:to>
    <xdr:sp macro="" textlink="">
      <xdr:nvSpPr>
        <xdr:cNvPr id="3308" name="Line 11">
          <a:extLst>
            <a:ext uri="{FF2B5EF4-FFF2-40B4-BE49-F238E27FC236}">
              <a16:creationId xmlns:a16="http://schemas.microsoft.com/office/drawing/2014/main" id="{B0EEA62C-1E6A-4DCD-BD3D-A28BF1D08985}"/>
            </a:ext>
          </a:extLst>
        </xdr:cNvPr>
        <xdr:cNvSpPr>
          <a:spLocks noChangeShapeType="1"/>
        </xdr:cNvSpPr>
      </xdr:nvSpPr>
      <xdr:spPr bwMode="auto">
        <a:xfrm flipV="1">
          <a:off x="11201400" y="9715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247650</xdr:colOff>
      <xdr:row>6</xdr:row>
      <xdr:rowOff>66675</xdr:rowOff>
    </xdr:from>
    <xdr:to>
      <xdr:col>12</xdr:col>
      <xdr:colOff>104775</xdr:colOff>
      <xdr:row>12</xdr:row>
      <xdr:rowOff>171450</xdr:rowOff>
    </xdr:to>
    <xdr:sp macro="" textlink="">
      <xdr:nvSpPr>
        <xdr:cNvPr id="3309" name="Line 12">
          <a:extLst>
            <a:ext uri="{FF2B5EF4-FFF2-40B4-BE49-F238E27FC236}">
              <a16:creationId xmlns:a16="http://schemas.microsoft.com/office/drawing/2014/main" id="{2A406440-A541-4C42-ADD4-8FCDE95C7DDF}"/>
            </a:ext>
          </a:extLst>
        </xdr:cNvPr>
        <xdr:cNvSpPr>
          <a:spLocks noChangeShapeType="1"/>
        </xdr:cNvSpPr>
      </xdr:nvSpPr>
      <xdr:spPr bwMode="auto">
        <a:xfrm>
          <a:off x="13496925" y="1428750"/>
          <a:ext cx="1076325" cy="1609725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12</xdr:row>
      <xdr:rowOff>180975</xdr:rowOff>
    </xdr:from>
    <xdr:to>
      <xdr:col>15</xdr:col>
      <xdr:colOff>457200</xdr:colOff>
      <xdr:row>12</xdr:row>
      <xdr:rowOff>180975</xdr:rowOff>
    </xdr:to>
    <xdr:sp macro="" textlink="">
      <xdr:nvSpPr>
        <xdr:cNvPr id="3310" name="Line 13">
          <a:extLst>
            <a:ext uri="{FF2B5EF4-FFF2-40B4-BE49-F238E27FC236}">
              <a16:creationId xmlns:a16="http://schemas.microsoft.com/office/drawing/2014/main" id="{3131F74D-80AE-4FE4-BA75-BBA6D057FABD}"/>
            </a:ext>
          </a:extLst>
        </xdr:cNvPr>
        <xdr:cNvSpPr>
          <a:spLocks noChangeShapeType="1"/>
        </xdr:cNvSpPr>
      </xdr:nvSpPr>
      <xdr:spPr bwMode="auto">
        <a:xfrm>
          <a:off x="14525625" y="3048000"/>
          <a:ext cx="22288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447675</xdr:colOff>
      <xdr:row>6</xdr:row>
      <xdr:rowOff>76200</xdr:rowOff>
    </xdr:from>
    <xdr:to>
      <xdr:col>17</xdr:col>
      <xdr:colOff>314325</xdr:colOff>
      <xdr:row>13</xdr:row>
      <xdr:rowOff>0</xdr:rowOff>
    </xdr:to>
    <xdr:sp macro="" textlink="">
      <xdr:nvSpPr>
        <xdr:cNvPr id="3311" name="Line 14">
          <a:extLst>
            <a:ext uri="{FF2B5EF4-FFF2-40B4-BE49-F238E27FC236}">
              <a16:creationId xmlns:a16="http://schemas.microsoft.com/office/drawing/2014/main" id="{ACC96B34-37F4-4BF9-B623-D6AC0DC9F5E0}"/>
            </a:ext>
          </a:extLst>
        </xdr:cNvPr>
        <xdr:cNvSpPr>
          <a:spLocks noChangeShapeType="1"/>
        </xdr:cNvSpPr>
      </xdr:nvSpPr>
      <xdr:spPr bwMode="auto">
        <a:xfrm flipH="1">
          <a:off x="16744950" y="1438275"/>
          <a:ext cx="1085850" cy="165735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234315</xdr:colOff>
      <xdr:row>8</xdr:row>
      <xdr:rowOff>144780</xdr:rowOff>
    </xdr:from>
    <xdr:ext cx="1672894" cy="436210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97893575-03A6-4845-A07A-1263E21D35E6}"/>
            </a:ext>
          </a:extLst>
        </xdr:cNvPr>
        <xdr:cNvSpPr txBox="1">
          <a:spLocks noChangeArrowheads="1"/>
        </xdr:cNvSpPr>
      </xdr:nvSpPr>
      <xdr:spPr bwMode="auto">
        <a:xfrm>
          <a:off x="14712315" y="1960880"/>
          <a:ext cx="1672894" cy="43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en-US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Silo Horizontal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8</xdr:row>
      <xdr:rowOff>95250</xdr:rowOff>
    </xdr:from>
    <xdr:to>
      <xdr:col>18</xdr:col>
      <xdr:colOff>314325</xdr:colOff>
      <xdr:row>15</xdr:row>
      <xdr:rowOff>142875</xdr:rowOff>
    </xdr:to>
    <xdr:sp macro="" textlink="">
      <xdr:nvSpPr>
        <xdr:cNvPr id="5301" name="AutoShape 1">
          <a:extLst>
            <a:ext uri="{FF2B5EF4-FFF2-40B4-BE49-F238E27FC236}">
              <a16:creationId xmlns:a16="http://schemas.microsoft.com/office/drawing/2014/main" id="{A4DE7B71-6535-48FB-8F11-FE07C254C28E}"/>
            </a:ext>
          </a:extLst>
        </xdr:cNvPr>
        <xdr:cNvSpPr>
          <a:spLocks noChangeArrowheads="1"/>
        </xdr:cNvSpPr>
      </xdr:nvSpPr>
      <xdr:spPr bwMode="auto">
        <a:xfrm>
          <a:off x="13182600" y="1543050"/>
          <a:ext cx="4238625" cy="1562100"/>
        </a:xfrm>
        <a:custGeom>
          <a:avLst/>
          <a:gdLst>
            <a:gd name="T0" fmla="*/ 2147483646 w 21600"/>
            <a:gd name="T1" fmla="*/ 2147483646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546735</xdr:colOff>
      <xdr:row>7</xdr:row>
      <xdr:rowOff>114300</xdr:rowOff>
    </xdr:from>
    <xdr:ext cx="1711109" cy="65197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A42EDC1-FF16-497D-9C5A-1D47BA64548B}"/>
            </a:ext>
          </a:extLst>
        </xdr:cNvPr>
        <xdr:cNvSpPr txBox="1">
          <a:spLocks noChangeArrowheads="1"/>
        </xdr:cNvSpPr>
      </xdr:nvSpPr>
      <xdr:spPr bwMode="auto">
        <a:xfrm>
          <a:off x="10681335" y="1384300"/>
          <a:ext cx="1711109" cy="651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Максимальная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500"/>
            </a:lnSpc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высота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 (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м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lnSpc>
              <a:spcPts val="1000"/>
            </a:lnSpc>
            <a:defRPr sz="1000"/>
          </a:pP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9</xdr:col>
      <xdr:colOff>952500</xdr:colOff>
      <xdr:row>8</xdr:row>
      <xdr:rowOff>95250</xdr:rowOff>
    </xdr:from>
    <xdr:to>
      <xdr:col>12</xdr:col>
      <xdr:colOff>542925</xdr:colOff>
      <xdr:row>8</xdr:row>
      <xdr:rowOff>104775</xdr:rowOff>
    </xdr:to>
    <xdr:sp macro="" textlink="">
      <xdr:nvSpPr>
        <xdr:cNvPr id="5303" name="Line 3">
          <a:extLst>
            <a:ext uri="{FF2B5EF4-FFF2-40B4-BE49-F238E27FC236}">
              <a16:creationId xmlns:a16="http://schemas.microsoft.com/office/drawing/2014/main" id="{59FEC209-7B3A-47B3-BA15-9664653E312E}"/>
            </a:ext>
          </a:extLst>
        </xdr:cNvPr>
        <xdr:cNvSpPr>
          <a:spLocks noChangeShapeType="1"/>
        </xdr:cNvSpPr>
      </xdr:nvSpPr>
      <xdr:spPr bwMode="auto">
        <a:xfrm flipH="1">
          <a:off x="12230100" y="1543050"/>
          <a:ext cx="1762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847725</xdr:colOff>
      <xdr:row>15</xdr:row>
      <xdr:rowOff>142875</xdr:rowOff>
    </xdr:from>
    <xdr:to>
      <xdr:col>12</xdr:col>
      <xdr:colOff>542925</xdr:colOff>
      <xdr:row>15</xdr:row>
      <xdr:rowOff>142875</xdr:rowOff>
    </xdr:to>
    <xdr:sp macro="" textlink="">
      <xdr:nvSpPr>
        <xdr:cNvPr id="5304" name="Line 4">
          <a:extLst>
            <a:ext uri="{FF2B5EF4-FFF2-40B4-BE49-F238E27FC236}">
              <a16:creationId xmlns:a16="http://schemas.microsoft.com/office/drawing/2014/main" id="{FCD20F20-AD64-47C2-AD70-3DC21745AD09}"/>
            </a:ext>
          </a:extLst>
        </xdr:cNvPr>
        <xdr:cNvSpPr>
          <a:spLocks noChangeShapeType="1"/>
        </xdr:cNvSpPr>
      </xdr:nvSpPr>
      <xdr:spPr bwMode="auto">
        <a:xfrm flipH="1">
          <a:off x="10982325" y="310515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68580</xdr:colOff>
      <xdr:row>9</xdr:row>
      <xdr:rowOff>182880</xdr:rowOff>
    </xdr:from>
    <xdr:ext cx="1147878" cy="65197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0741FB6-B1B0-43BB-9B64-59C5AA443BDF}"/>
            </a:ext>
          </a:extLst>
        </xdr:cNvPr>
        <xdr:cNvSpPr txBox="1">
          <a:spLocks noChangeArrowheads="1"/>
        </xdr:cNvSpPr>
      </xdr:nvSpPr>
      <xdr:spPr bwMode="auto">
        <a:xfrm>
          <a:off x="12298680" y="1859280"/>
          <a:ext cx="1147878" cy="651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500"/>
            </a:lnSpc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Высота</a:t>
          </a: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стенки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ru-RU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м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lnSpc>
              <a:spcPts val="1000"/>
            </a:lnSpc>
            <a:defRPr sz="1000"/>
          </a:pPr>
          <a:endParaRPr lang="en-US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457200</xdr:colOff>
      <xdr:row>14</xdr:row>
      <xdr:rowOff>38100</xdr:rowOff>
    </xdr:from>
    <xdr:to>
      <xdr:col>10</xdr:col>
      <xdr:colOff>457200</xdr:colOff>
      <xdr:row>15</xdr:row>
      <xdr:rowOff>142875</xdr:rowOff>
    </xdr:to>
    <xdr:sp macro="" textlink="">
      <xdr:nvSpPr>
        <xdr:cNvPr id="5306" name="Line 6">
          <a:extLst>
            <a:ext uri="{FF2B5EF4-FFF2-40B4-BE49-F238E27FC236}">
              <a16:creationId xmlns:a16="http://schemas.microsoft.com/office/drawing/2014/main" id="{1B7023ED-6E87-46AD-8026-69ADBB6EA864}"/>
            </a:ext>
          </a:extLst>
        </xdr:cNvPr>
        <xdr:cNvSpPr>
          <a:spLocks noChangeShapeType="1"/>
        </xdr:cNvSpPr>
      </xdr:nvSpPr>
      <xdr:spPr bwMode="auto">
        <a:xfrm>
          <a:off x="12687300" y="28003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419100</xdr:colOff>
      <xdr:row>8</xdr:row>
      <xdr:rowOff>95250</xdr:rowOff>
    </xdr:from>
    <xdr:to>
      <xdr:col>10</xdr:col>
      <xdr:colOff>419100</xdr:colOff>
      <xdr:row>10</xdr:row>
      <xdr:rowOff>28575</xdr:rowOff>
    </xdr:to>
    <xdr:sp macro="" textlink="">
      <xdr:nvSpPr>
        <xdr:cNvPr id="5307" name="Line 7">
          <a:extLst>
            <a:ext uri="{FF2B5EF4-FFF2-40B4-BE49-F238E27FC236}">
              <a16:creationId xmlns:a16="http://schemas.microsoft.com/office/drawing/2014/main" id="{93D561BD-B1D6-4606-8961-485B049BFE87}"/>
            </a:ext>
          </a:extLst>
        </xdr:cNvPr>
        <xdr:cNvSpPr>
          <a:spLocks noChangeShapeType="1"/>
        </xdr:cNvSpPr>
      </xdr:nvSpPr>
      <xdr:spPr bwMode="auto">
        <a:xfrm flipV="1">
          <a:off x="12649200" y="154305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342900</xdr:colOff>
      <xdr:row>6</xdr:row>
      <xdr:rowOff>38100</xdr:rowOff>
    </xdr:from>
    <xdr:to>
      <xdr:col>18</xdr:col>
      <xdr:colOff>314325</xdr:colOff>
      <xdr:row>8</xdr:row>
      <xdr:rowOff>95250</xdr:rowOff>
    </xdr:to>
    <xdr:sp macro="" textlink="">
      <xdr:nvSpPr>
        <xdr:cNvPr id="5308" name="Freeform 8">
          <a:extLst>
            <a:ext uri="{FF2B5EF4-FFF2-40B4-BE49-F238E27FC236}">
              <a16:creationId xmlns:a16="http://schemas.microsoft.com/office/drawing/2014/main" id="{C5E3AAB9-A8D0-4670-8041-7E6AACF8A77B}"/>
            </a:ext>
          </a:extLst>
        </xdr:cNvPr>
        <xdr:cNvSpPr>
          <a:spLocks/>
        </xdr:cNvSpPr>
      </xdr:nvSpPr>
      <xdr:spPr bwMode="auto">
        <a:xfrm>
          <a:off x="13182600" y="1085850"/>
          <a:ext cx="4238625" cy="457200"/>
        </a:xfrm>
        <a:custGeom>
          <a:avLst/>
          <a:gdLst>
            <a:gd name="T0" fmla="*/ 0 w 2688"/>
            <a:gd name="T1" fmla="*/ 2147483646 h 288"/>
            <a:gd name="T2" fmla="*/ 2147483646 w 2688"/>
            <a:gd name="T3" fmla="*/ 2147483646 h 288"/>
            <a:gd name="T4" fmla="*/ 2147483646 w 2688"/>
            <a:gd name="T5" fmla="*/ 2147483646 h 288"/>
            <a:gd name="T6" fmla="*/ 2147483646 w 2688"/>
            <a:gd name="T7" fmla="*/ 0 h 288"/>
            <a:gd name="T8" fmla="*/ 2147483646 w 2688"/>
            <a:gd name="T9" fmla="*/ 0 h 288"/>
            <a:gd name="T10" fmla="*/ 2147483646 w 2688"/>
            <a:gd name="T11" fmla="*/ 0 h 288"/>
            <a:gd name="T12" fmla="*/ 2147483646 w 2688"/>
            <a:gd name="T13" fmla="*/ 2147483646 h 288"/>
            <a:gd name="T14" fmla="*/ 2147483646 w 2688"/>
            <a:gd name="T15" fmla="*/ 2147483646 h 288"/>
            <a:gd name="T16" fmla="*/ 2147483646 w 2688"/>
            <a:gd name="T17" fmla="*/ 2147483646 h 288"/>
            <a:gd name="T18" fmla="*/ 2147483646 w 2688"/>
            <a:gd name="T19" fmla="*/ 2147483646 h 288"/>
            <a:gd name="T20" fmla="*/ 0 w 2688"/>
            <a:gd name="T21" fmla="*/ 2147483646 h 288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2688"/>
            <a:gd name="T34" fmla="*/ 0 h 288"/>
            <a:gd name="T35" fmla="*/ 2688 w 2688"/>
            <a:gd name="T36" fmla="*/ 288 h 288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2688" h="288">
              <a:moveTo>
                <a:pt x="0" y="288"/>
              </a:moveTo>
              <a:lnTo>
                <a:pt x="240" y="144"/>
              </a:lnTo>
              <a:lnTo>
                <a:pt x="576" y="48"/>
              </a:lnTo>
              <a:lnTo>
                <a:pt x="912" y="0"/>
              </a:lnTo>
              <a:lnTo>
                <a:pt x="1344" y="0"/>
              </a:lnTo>
              <a:lnTo>
                <a:pt x="1728" y="0"/>
              </a:lnTo>
              <a:lnTo>
                <a:pt x="2016" y="48"/>
              </a:lnTo>
              <a:lnTo>
                <a:pt x="2352" y="144"/>
              </a:lnTo>
              <a:lnTo>
                <a:pt x="2448" y="192"/>
              </a:lnTo>
              <a:lnTo>
                <a:pt x="2688" y="288"/>
              </a:lnTo>
              <a:cubicBezTo>
                <a:pt x="1792" y="288"/>
                <a:pt x="896" y="288"/>
                <a:pt x="0" y="288"/>
              </a:cubicBezTo>
              <a:close/>
            </a:path>
          </a:pathLst>
        </a:custGeom>
        <a:solidFill>
          <a:srgbClr val="008000"/>
        </a:solidFill>
        <a:ln w="28575" cmpd="sng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923925</xdr:colOff>
      <xdr:row>6</xdr:row>
      <xdr:rowOff>38100</xdr:rowOff>
    </xdr:from>
    <xdr:to>
      <xdr:col>13</xdr:col>
      <xdr:colOff>9525</xdr:colOff>
      <xdr:row>6</xdr:row>
      <xdr:rowOff>38100</xdr:rowOff>
    </xdr:to>
    <xdr:sp macro="" textlink="">
      <xdr:nvSpPr>
        <xdr:cNvPr id="5309" name="Line 9">
          <a:extLst>
            <a:ext uri="{FF2B5EF4-FFF2-40B4-BE49-F238E27FC236}">
              <a16:creationId xmlns:a16="http://schemas.microsoft.com/office/drawing/2014/main" id="{6D4DA0BC-751C-42C5-8B7E-E1EAFACB414B}"/>
            </a:ext>
          </a:extLst>
        </xdr:cNvPr>
        <xdr:cNvSpPr>
          <a:spLocks noChangeShapeType="1"/>
        </xdr:cNvSpPr>
      </xdr:nvSpPr>
      <xdr:spPr bwMode="auto">
        <a:xfrm flipH="1">
          <a:off x="11058525" y="108585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38100</xdr:rowOff>
    </xdr:from>
    <xdr:to>
      <xdr:col>9</xdr:col>
      <xdr:colOff>0</xdr:colOff>
      <xdr:row>15</xdr:row>
      <xdr:rowOff>142875</xdr:rowOff>
    </xdr:to>
    <xdr:sp macro="" textlink="">
      <xdr:nvSpPr>
        <xdr:cNvPr id="5310" name="Line 10">
          <a:extLst>
            <a:ext uri="{FF2B5EF4-FFF2-40B4-BE49-F238E27FC236}">
              <a16:creationId xmlns:a16="http://schemas.microsoft.com/office/drawing/2014/main" id="{D784582C-A8ED-429F-B60F-83C6B2949FE8}"/>
            </a:ext>
          </a:extLst>
        </xdr:cNvPr>
        <xdr:cNvSpPr>
          <a:spLocks noChangeShapeType="1"/>
        </xdr:cNvSpPr>
      </xdr:nvSpPr>
      <xdr:spPr bwMode="auto">
        <a:xfrm>
          <a:off x="11620500" y="234315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1152525</xdr:colOff>
      <xdr:row>6</xdr:row>
      <xdr:rowOff>38100</xdr:rowOff>
    </xdr:from>
    <xdr:to>
      <xdr:col>8</xdr:col>
      <xdr:colOff>1152525</xdr:colOff>
      <xdr:row>7</xdr:row>
      <xdr:rowOff>190500</xdr:rowOff>
    </xdr:to>
    <xdr:sp macro="" textlink="">
      <xdr:nvSpPr>
        <xdr:cNvPr id="5311" name="Line 11">
          <a:extLst>
            <a:ext uri="{FF2B5EF4-FFF2-40B4-BE49-F238E27FC236}">
              <a16:creationId xmlns:a16="http://schemas.microsoft.com/office/drawing/2014/main" id="{A88BB968-6B65-409D-A55A-D61E8CAED9E3}"/>
            </a:ext>
          </a:extLst>
        </xdr:cNvPr>
        <xdr:cNvSpPr>
          <a:spLocks noChangeShapeType="1"/>
        </xdr:cNvSpPr>
      </xdr:nvSpPr>
      <xdr:spPr bwMode="auto">
        <a:xfrm flipV="1">
          <a:off x="11287125" y="108585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276225</xdr:colOff>
      <xdr:row>8</xdr:row>
      <xdr:rowOff>123825</xdr:rowOff>
    </xdr:from>
    <xdr:to>
      <xdr:col>13</xdr:col>
      <xdr:colOff>104775</xdr:colOff>
      <xdr:row>15</xdr:row>
      <xdr:rowOff>190500</xdr:rowOff>
    </xdr:to>
    <xdr:sp macro="" textlink="">
      <xdr:nvSpPr>
        <xdr:cNvPr id="5312" name="Line 12">
          <a:extLst>
            <a:ext uri="{FF2B5EF4-FFF2-40B4-BE49-F238E27FC236}">
              <a16:creationId xmlns:a16="http://schemas.microsoft.com/office/drawing/2014/main" id="{8C94A368-3806-4BE8-B19E-F4ADA43261DC}"/>
            </a:ext>
          </a:extLst>
        </xdr:cNvPr>
        <xdr:cNvSpPr>
          <a:spLocks noChangeShapeType="1"/>
        </xdr:cNvSpPr>
      </xdr:nvSpPr>
      <xdr:spPr bwMode="auto">
        <a:xfrm>
          <a:off x="13115925" y="1571625"/>
          <a:ext cx="1047750" cy="158115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16</xdr:row>
      <xdr:rowOff>0</xdr:rowOff>
    </xdr:from>
    <xdr:to>
      <xdr:col>16</xdr:col>
      <xdr:colOff>457200</xdr:colOff>
      <xdr:row>16</xdr:row>
      <xdr:rowOff>0</xdr:rowOff>
    </xdr:to>
    <xdr:sp macro="" textlink="">
      <xdr:nvSpPr>
        <xdr:cNvPr id="5313" name="Line 13">
          <a:extLst>
            <a:ext uri="{FF2B5EF4-FFF2-40B4-BE49-F238E27FC236}">
              <a16:creationId xmlns:a16="http://schemas.microsoft.com/office/drawing/2014/main" id="{CE08E4B1-1E61-47AB-AA1D-13A1131561BD}"/>
            </a:ext>
          </a:extLst>
        </xdr:cNvPr>
        <xdr:cNvSpPr>
          <a:spLocks noChangeShapeType="1"/>
        </xdr:cNvSpPr>
      </xdr:nvSpPr>
      <xdr:spPr bwMode="auto">
        <a:xfrm>
          <a:off x="14116050" y="3162300"/>
          <a:ext cx="22288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457200</xdr:colOff>
      <xdr:row>8</xdr:row>
      <xdr:rowOff>133350</xdr:rowOff>
    </xdr:from>
    <xdr:to>
      <xdr:col>18</xdr:col>
      <xdr:colOff>323850</xdr:colOff>
      <xdr:row>16</xdr:row>
      <xdr:rowOff>9525</xdr:rowOff>
    </xdr:to>
    <xdr:sp macro="" textlink="">
      <xdr:nvSpPr>
        <xdr:cNvPr id="5314" name="Line 14">
          <a:extLst>
            <a:ext uri="{FF2B5EF4-FFF2-40B4-BE49-F238E27FC236}">
              <a16:creationId xmlns:a16="http://schemas.microsoft.com/office/drawing/2014/main" id="{1B7E88CD-ADD8-4B91-8339-E5F30D0D5845}"/>
            </a:ext>
          </a:extLst>
        </xdr:cNvPr>
        <xdr:cNvSpPr>
          <a:spLocks noChangeShapeType="1"/>
        </xdr:cNvSpPr>
      </xdr:nvSpPr>
      <xdr:spPr bwMode="auto">
        <a:xfrm flipH="1">
          <a:off x="16344900" y="1581150"/>
          <a:ext cx="1085850" cy="1590675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388620</xdr:colOff>
      <xdr:row>10</xdr:row>
      <xdr:rowOff>144780</xdr:rowOff>
    </xdr:from>
    <xdr:ext cx="2302682" cy="670248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C2D7BF5-8F6E-4E51-ACE3-E692518FAC72}"/>
            </a:ext>
          </a:extLst>
        </xdr:cNvPr>
        <xdr:cNvSpPr txBox="1">
          <a:spLocks noChangeArrowheads="1"/>
        </xdr:cNvSpPr>
      </xdr:nvSpPr>
      <xdr:spPr bwMode="auto">
        <a:xfrm>
          <a:off x="14447520" y="2024380"/>
          <a:ext cx="2302682" cy="670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ru-RU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Горизонтальное </a:t>
          </a:r>
        </a:p>
        <a:p>
          <a:pPr algn="l" rtl="0">
            <a:lnSpc>
              <a:spcPts val="1400"/>
            </a:lnSpc>
            <a:defRPr sz="1000"/>
          </a:pPr>
          <a:r>
            <a:rPr lang="ru-RU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силосохранилище</a:t>
          </a: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865366</xdr:colOff>
      <xdr:row>10</xdr:row>
      <xdr:rowOff>31841</xdr:rowOff>
    </xdr:from>
    <xdr:to>
      <xdr:col>11</xdr:col>
      <xdr:colOff>337018</xdr:colOff>
      <xdr:row>12</xdr:row>
      <xdr:rowOff>144236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79B00613-4A60-4AA4-9948-01BD0A901F9C}"/>
            </a:ext>
          </a:extLst>
        </xdr:cNvPr>
        <xdr:cNvSpPr txBox="1">
          <a:spLocks noChangeArrowheads="1"/>
        </xdr:cNvSpPr>
      </xdr:nvSpPr>
      <xdr:spPr bwMode="auto">
        <a:xfrm>
          <a:off x="11800066" y="2232116"/>
          <a:ext cx="1109952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Uchdwr with y wal (m)</a:t>
          </a:r>
        </a:p>
        <a:p>
          <a:pPr algn="ctr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133350</xdr:colOff>
      <xdr:row>7</xdr:row>
      <xdr:rowOff>28575</xdr:rowOff>
    </xdr:from>
    <xdr:to>
      <xdr:col>19</xdr:col>
      <xdr:colOff>285750</xdr:colOff>
      <xdr:row>15</xdr:row>
      <xdr:rowOff>95250</xdr:rowOff>
    </xdr:to>
    <xdr:grpSp>
      <xdr:nvGrpSpPr>
        <xdr:cNvPr id="6232" name="Group 2">
          <a:extLst>
            <a:ext uri="{FF2B5EF4-FFF2-40B4-BE49-F238E27FC236}">
              <a16:creationId xmlns:a16="http://schemas.microsoft.com/office/drawing/2014/main" id="{7EDF9B09-1828-4D59-8DD2-119149EC8C62}"/>
            </a:ext>
          </a:extLst>
        </xdr:cNvPr>
        <xdr:cNvGrpSpPr>
          <a:grpSpLocks/>
        </xdr:cNvGrpSpPr>
      </xdr:nvGrpSpPr>
      <xdr:grpSpPr bwMode="auto">
        <a:xfrm>
          <a:off x="12145433" y="1661583"/>
          <a:ext cx="6703484" cy="1799167"/>
          <a:chOff x="11610975" y="1603375"/>
          <a:chExt cx="6613525" cy="1812925"/>
        </a:xfrm>
      </xdr:grpSpPr>
      <xdr:sp macro="" textlink="">
        <xdr:nvSpPr>
          <xdr:cNvPr id="37" name="Text Box 2">
            <a:extLst>
              <a:ext uri="{FF2B5EF4-FFF2-40B4-BE49-F238E27FC236}">
                <a16:creationId xmlns:a16="http://schemas.microsoft.com/office/drawing/2014/main" id="{0D3609F6-BC0D-4EFE-9F14-51FB974FEB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10975" y="1816660"/>
            <a:ext cx="973133" cy="591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Uchafbwynt 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(m)</a:t>
            </a:r>
          </a:p>
          <a:p>
            <a:pPr algn="ctr" rtl="0">
              <a:lnSpc>
                <a:spcPts val="14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234" name="Line 10">
            <a:extLst>
              <a:ext uri="{FF2B5EF4-FFF2-40B4-BE49-F238E27FC236}">
                <a16:creationId xmlns:a16="http://schemas.microsoft.com/office/drawing/2014/main" id="{32BE5DDA-C337-4F60-8736-FEB20E49E4F4}"/>
              </a:ext>
            </a:extLst>
          </xdr:cNvPr>
          <xdr:cNvSpPr>
            <a:spLocks noChangeShapeType="1"/>
          </xdr:cNvSpPr>
        </xdr:nvSpPr>
        <xdr:spPr bwMode="auto">
          <a:xfrm>
            <a:off x="11630025" y="2505075"/>
            <a:ext cx="0" cy="8445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5" name="Line 11">
            <a:extLst>
              <a:ext uri="{FF2B5EF4-FFF2-40B4-BE49-F238E27FC236}">
                <a16:creationId xmlns:a16="http://schemas.microsoft.com/office/drawing/2014/main" id="{6AA6C043-2CAC-499F-9467-44E3F2BF618B}"/>
              </a:ext>
            </a:extLst>
          </xdr:cNvPr>
          <xdr:cNvSpPr>
            <a:spLocks noChangeShapeType="1"/>
          </xdr:cNvSpPr>
        </xdr:nvSpPr>
        <xdr:spPr bwMode="auto">
          <a:xfrm flipV="1">
            <a:off x="11620500" y="1603375"/>
            <a:ext cx="9525" cy="6667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6" name="Line 3">
            <a:extLst>
              <a:ext uri="{FF2B5EF4-FFF2-40B4-BE49-F238E27FC236}">
                <a16:creationId xmlns:a16="http://schemas.microsoft.com/office/drawing/2014/main" id="{58794BF5-E0CE-45DD-88B2-8036698F879F}"/>
              </a:ext>
            </a:extLst>
          </xdr:cNvPr>
          <xdr:cNvSpPr>
            <a:spLocks noChangeShapeType="1"/>
          </xdr:cNvSpPr>
        </xdr:nvSpPr>
        <xdr:spPr bwMode="auto">
          <a:xfrm flipH="1">
            <a:off x="12538075" y="2025650"/>
            <a:ext cx="936625" cy="95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7" name="Line 4">
            <a:extLst>
              <a:ext uri="{FF2B5EF4-FFF2-40B4-BE49-F238E27FC236}">
                <a16:creationId xmlns:a16="http://schemas.microsoft.com/office/drawing/2014/main" id="{3479A0A5-2574-41FA-BEF7-5242B53978C2}"/>
              </a:ext>
            </a:extLst>
          </xdr:cNvPr>
          <xdr:cNvSpPr>
            <a:spLocks noChangeShapeType="1"/>
          </xdr:cNvSpPr>
        </xdr:nvSpPr>
        <xdr:spPr bwMode="auto">
          <a:xfrm flipH="1">
            <a:off x="11630025" y="3359150"/>
            <a:ext cx="27463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8" name="Line 6">
            <a:extLst>
              <a:ext uri="{FF2B5EF4-FFF2-40B4-BE49-F238E27FC236}">
                <a16:creationId xmlns:a16="http://schemas.microsoft.com/office/drawing/2014/main" id="{2C66B82C-F9DB-4CE8-AB8B-01F623B11109}"/>
              </a:ext>
            </a:extLst>
          </xdr:cNvPr>
          <xdr:cNvSpPr>
            <a:spLocks noChangeShapeType="1"/>
          </xdr:cNvSpPr>
        </xdr:nvSpPr>
        <xdr:spPr bwMode="auto">
          <a:xfrm>
            <a:off x="12823825" y="2889250"/>
            <a:ext cx="0" cy="4603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9" name="Line 7">
            <a:extLst>
              <a:ext uri="{FF2B5EF4-FFF2-40B4-BE49-F238E27FC236}">
                <a16:creationId xmlns:a16="http://schemas.microsoft.com/office/drawing/2014/main" id="{835A6DB6-456C-44A3-A268-45B1F6B7E82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795250" y="2016125"/>
            <a:ext cx="9525" cy="2159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40" name="Line 9">
            <a:extLst>
              <a:ext uri="{FF2B5EF4-FFF2-40B4-BE49-F238E27FC236}">
                <a16:creationId xmlns:a16="http://schemas.microsoft.com/office/drawing/2014/main" id="{ED271B44-7768-4412-A6B9-7D2282683789}"/>
              </a:ext>
            </a:extLst>
          </xdr:cNvPr>
          <xdr:cNvSpPr>
            <a:spLocks noChangeShapeType="1"/>
          </xdr:cNvSpPr>
        </xdr:nvSpPr>
        <xdr:spPr bwMode="auto">
          <a:xfrm flipH="1">
            <a:off x="11630025" y="1603375"/>
            <a:ext cx="28321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241" name="Group 1">
            <a:extLst>
              <a:ext uri="{FF2B5EF4-FFF2-40B4-BE49-F238E27FC236}">
                <a16:creationId xmlns:a16="http://schemas.microsoft.com/office/drawing/2014/main" id="{07DD5482-6227-4B82-87C3-7DB710A0D567}"/>
              </a:ext>
            </a:extLst>
          </xdr:cNvPr>
          <xdr:cNvGrpSpPr>
            <a:grpSpLocks/>
          </xdr:cNvGrpSpPr>
        </xdr:nvGrpSpPr>
        <xdr:grpSpPr bwMode="auto">
          <a:xfrm>
            <a:off x="13350875" y="1603375"/>
            <a:ext cx="4873625" cy="1812925"/>
            <a:chOff x="13350875" y="1603375"/>
            <a:chExt cx="4873625" cy="1812925"/>
          </a:xfrm>
        </xdr:grpSpPr>
        <xdr:sp macro="" textlink="">
          <xdr:nvSpPr>
            <xdr:cNvPr id="6242" name="AutoShape 1">
              <a:extLst>
                <a:ext uri="{FF2B5EF4-FFF2-40B4-BE49-F238E27FC236}">
                  <a16:creationId xmlns:a16="http://schemas.microsoft.com/office/drawing/2014/main" id="{7BA25A15-7AB2-43A9-88C8-DA6B4BB21AE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522325" y="2044700"/>
              <a:ext cx="4521200" cy="1314450"/>
            </a:xfrm>
            <a:custGeom>
              <a:avLst/>
              <a:gdLst>
                <a:gd name="T0" fmla="*/ 787381418 w 21685"/>
                <a:gd name="T1" fmla="*/ 0 h 21789"/>
                <a:gd name="T2" fmla="*/ 0 w 21685"/>
                <a:gd name="T3" fmla="*/ 2147483646 h 21789"/>
                <a:gd name="T4" fmla="*/ 2147483646 w 21685"/>
                <a:gd name="T5" fmla="*/ 2147483646 h 21789"/>
                <a:gd name="T6" fmla="*/ 2147483646 w 21685"/>
                <a:gd name="T7" fmla="*/ 0 h 21789"/>
                <a:gd name="T8" fmla="*/ 787381418 w 21685"/>
                <a:gd name="T9" fmla="*/ 0 h 21789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21685" h="21789">
                  <a:moveTo>
                    <a:pt x="85" y="0"/>
                  </a:moveTo>
                  <a:cubicBezTo>
                    <a:pt x="57" y="7263"/>
                    <a:pt x="28" y="14526"/>
                    <a:pt x="0" y="21789"/>
                  </a:cubicBezTo>
                  <a:lnTo>
                    <a:pt x="21624" y="21695"/>
                  </a:lnTo>
                  <a:cubicBezTo>
                    <a:pt x="21644" y="14463"/>
                    <a:pt x="21665" y="7232"/>
                    <a:pt x="21685" y="0"/>
                  </a:cubicBezTo>
                  <a:lnTo>
                    <a:pt x="85" y="0"/>
                  </a:lnTo>
                  <a:close/>
                </a:path>
              </a:pathLst>
            </a:custGeom>
            <a:solidFill>
              <a:srgbClr val="008000"/>
            </a:solidFill>
            <a:ln w="63500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6243" name="Freeform 8">
              <a:extLst>
                <a:ext uri="{FF2B5EF4-FFF2-40B4-BE49-F238E27FC236}">
                  <a16:creationId xmlns:a16="http://schemas.microsoft.com/office/drawing/2014/main" id="{E701661C-766E-4D8B-9082-4E65C42A9B4B}"/>
                </a:ext>
              </a:extLst>
            </xdr:cNvPr>
            <xdr:cNvSpPr>
              <a:spLocks/>
            </xdr:cNvSpPr>
          </xdr:nvSpPr>
          <xdr:spPr bwMode="auto">
            <a:xfrm>
              <a:off x="13522325" y="1603375"/>
              <a:ext cx="4502150" cy="412750"/>
            </a:xfrm>
            <a:custGeom>
              <a:avLst/>
              <a:gdLst>
                <a:gd name="T0" fmla="*/ 0 w 2688"/>
                <a:gd name="T1" fmla="*/ 2147483646 h 288"/>
                <a:gd name="T2" fmla="*/ 2147483646 w 2688"/>
                <a:gd name="T3" fmla="*/ 2147483646 h 288"/>
                <a:gd name="T4" fmla="*/ 2147483646 w 2688"/>
                <a:gd name="T5" fmla="*/ 2147483646 h 288"/>
                <a:gd name="T6" fmla="*/ 2147483646 w 2688"/>
                <a:gd name="T7" fmla="*/ 0 h 288"/>
                <a:gd name="T8" fmla="*/ 2147483646 w 2688"/>
                <a:gd name="T9" fmla="*/ 0 h 288"/>
                <a:gd name="T10" fmla="*/ 2147483646 w 2688"/>
                <a:gd name="T11" fmla="*/ 0 h 288"/>
                <a:gd name="T12" fmla="*/ 2147483646 w 2688"/>
                <a:gd name="T13" fmla="*/ 2147483646 h 288"/>
                <a:gd name="T14" fmla="*/ 2147483646 w 2688"/>
                <a:gd name="T15" fmla="*/ 2147483646 h 288"/>
                <a:gd name="T16" fmla="*/ 2147483646 w 2688"/>
                <a:gd name="T17" fmla="*/ 2147483646 h 288"/>
                <a:gd name="T18" fmla="*/ 2147483646 w 2688"/>
                <a:gd name="T19" fmla="*/ 2147483646 h 288"/>
                <a:gd name="T20" fmla="*/ 0 w 2688"/>
                <a:gd name="T21" fmla="*/ 2147483646 h 28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688"/>
                <a:gd name="T34" fmla="*/ 0 h 288"/>
                <a:gd name="T35" fmla="*/ 2688 w 2688"/>
                <a:gd name="T36" fmla="*/ 288 h 28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688" h="288">
                  <a:moveTo>
                    <a:pt x="0" y="288"/>
                  </a:moveTo>
                  <a:lnTo>
                    <a:pt x="240" y="144"/>
                  </a:lnTo>
                  <a:lnTo>
                    <a:pt x="576" y="48"/>
                  </a:lnTo>
                  <a:lnTo>
                    <a:pt x="912" y="0"/>
                  </a:lnTo>
                  <a:lnTo>
                    <a:pt x="1344" y="0"/>
                  </a:lnTo>
                  <a:lnTo>
                    <a:pt x="1728" y="0"/>
                  </a:lnTo>
                  <a:lnTo>
                    <a:pt x="2016" y="48"/>
                  </a:lnTo>
                  <a:lnTo>
                    <a:pt x="2352" y="144"/>
                  </a:lnTo>
                  <a:lnTo>
                    <a:pt x="2448" y="192"/>
                  </a:lnTo>
                  <a:lnTo>
                    <a:pt x="2688" y="288"/>
                  </a:lnTo>
                  <a:cubicBezTo>
                    <a:pt x="1792" y="288"/>
                    <a:pt x="896" y="288"/>
                    <a:pt x="0" y="288"/>
                  </a:cubicBezTo>
                  <a:close/>
                </a:path>
              </a:pathLst>
            </a:custGeom>
            <a:solidFill>
              <a:srgbClr val="008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28575" cmpd="sng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mc:AlternateContent xmlns:mc="http://schemas.openxmlformats.org/markup-compatibility/2006" xmlns:xdr14="http://schemas.microsoft.com/office/excel/2010/spreadsheetDrawing">
          <mc:Choice Requires="xdr14">
            <xdr14:contentPart xmlns:r="http://schemas.openxmlformats.org/officeDocument/2006/relationships" r:id="rId1">
              <xdr14:nvContentPartPr>
                <xdr14:cNvPr id="48" name="Ink 47">
                  <a:extLst>
                    <a:ext uri="{FF2B5EF4-FFF2-40B4-BE49-F238E27FC236}">
                      <a16:creationId xmlns:a16="http://schemas.microsoft.com/office/drawing/2014/main" id="{2E2E9342-C709-4429-890D-ED40B9ADA056}"/>
                    </a:ext>
                  </a:extLst>
                </xdr14:cNvPr>
                <xdr14:cNvContentPartPr/>
              </xdr14:nvContentPartPr>
              <xdr14:nvPr macro=""/>
              <xdr14:xfrm>
                <a:off x="13434418" y="2214147"/>
                <a:ext cx="28344" cy="959784"/>
              </xdr14:xfrm>
            </xdr14:contentPart>
          </mc:Choice>
          <mc:Fallback xmlns="">
            <xdr:pic>
              <xdr:nvPicPr>
                <xdr:cNvPr id="48" name="Ink 47">
                  <a:extLst>
                    <a:ext uri="{FF2B5EF4-FFF2-40B4-BE49-F238E27FC236}">
                      <a16:creationId xmlns:a16="http://schemas.microsoft.com/office/drawing/2014/main" id="{2E2E9342-C709-4429-890D-ED40B9ADA056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2"/>
                <a:stretch>
                  <a:fillRect/>
                </a:stretch>
              </xdr:blipFill>
              <xdr:spPr>
                <a:xfrm>
                  <a:off x="13345843" y="2036013"/>
                  <a:ext cx="205140" cy="1315695"/>
                </a:xfrm>
                <a:prstGeom prst="rect">
                  <a:avLst/>
                </a:prstGeom>
              </xdr:spPr>
            </xdr:pic>
          </mc:Fallback>
        </mc:AlternateContent>
        <mc:AlternateContent xmlns:mc="http://schemas.openxmlformats.org/markup-compatibility/2006" xmlns:xdr14="http://schemas.microsoft.com/office/excel/2010/spreadsheetDrawing">
          <mc:Choice Requires="xdr14">
            <xdr14:contentPart xmlns:r="http://schemas.openxmlformats.org/officeDocument/2006/relationships" r:id="rId3">
              <xdr14:nvContentPartPr>
                <xdr14:cNvPr id="49" name="Ink 48">
                  <a:extLst>
                    <a:ext uri="{FF2B5EF4-FFF2-40B4-BE49-F238E27FC236}">
                      <a16:creationId xmlns:a16="http://schemas.microsoft.com/office/drawing/2014/main" id="{6F0FF165-9035-4D44-B7B5-E03EE5C3AC09}"/>
                    </a:ext>
                  </a:extLst>
                </xdr14:cNvPr>
                <xdr14:cNvContentPartPr/>
              </xdr14:nvContentPartPr>
              <xdr14:nvPr macro=""/>
              <xdr14:xfrm>
                <a:off x="18130021" y="2233536"/>
                <a:ext cx="18896" cy="959784"/>
              </xdr14:xfrm>
            </xdr14:contentPart>
          </mc:Choice>
          <mc:Fallback xmlns="">
            <xdr:pic>
              <xdr:nvPicPr>
                <xdr:cNvPr id="49" name="Ink 48">
                  <a:extLst>
                    <a:ext uri="{FF2B5EF4-FFF2-40B4-BE49-F238E27FC236}">
                      <a16:creationId xmlns:a16="http://schemas.microsoft.com/office/drawing/2014/main" id="{6F0FF165-9035-4D44-B7B5-E03EE5C3AC09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4"/>
                <a:stretch>
                  <a:fillRect/>
                </a:stretch>
              </xdr:blipFill>
              <xdr:spPr>
                <a:xfrm>
                  <a:off x="18042540" y="2055402"/>
                  <a:ext cx="193509" cy="1315695"/>
                </a:xfrm>
                <a:prstGeom prst="rect">
                  <a:avLst/>
                </a:prstGeom>
              </xdr:spPr>
            </xdr:pic>
          </mc:Fallback>
        </mc:AlternateContent>
        <xdr:sp macro="" textlink="">
          <xdr:nvSpPr>
            <xdr:cNvPr id="6246" name="Line 4">
              <a:extLst>
                <a:ext uri="{FF2B5EF4-FFF2-40B4-BE49-F238E27FC236}">
                  <a16:creationId xmlns:a16="http://schemas.microsoft.com/office/drawing/2014/main" id="{96C1B332-7474-4B63-9618-560122B896BC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3350875" y="3416300"/>
              <a:ext cx="4873625" cy="0"/>
            </a:xfrm>
            <a:prstGeom prst="line">
              <a:avLst/>
            </a:prstGeom>
            <a:noFill/>
            <a:ln w="133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" name="Text Box 15">
              <a:extLst>
                <a:ext uri="{FF2B5EF4-FFF2-40B4-BE49-F238E27FC236}">
                  <a16:creationId xmlns:a16="http://schemas.microsoft.com/office/drawing/2014/main" id="{45E267DB-D695-4536-8EAD-98CFC2C1D22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379207" y="2252926"/>
              <a:ext cx="1984058" cy="36840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91440" tIns="45720" rIns="91440" bIns="45720" anchor="t" upright="1">
              <a:spAutoFit/>
            </a:bodyPr>
            <a:lstStyle/>
            <a:p>
              <a:pPr algn="l" rtl="0">
                <a:lnSpc>
                  <a:spcPts val="1700"/>
                </a:lnSpc>
                <a:defRPr sz="1000"/>
              </a:pPr>
              <a:r>
                <a:rPr lang="en-US" sz="18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Seilo Llorweddol</a:t>
              </a:r>
              <a:endParaRPr lang="en-US" sz="18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28.34025" units="1/cm"/>
          <inkml:channelProperty channel="Y" name="resolution" value="28.33948" units="1/cm"/>
          <inkml:channelProperty channel="T" name="resolution" value="1" units="1/dev"/>
        </inkml:channelProperties>
      </inkml:inkSource>
      <inkml:timestamp xml:id="ts0" timeString="2019-01-11T21:58:13.034"/>
    </inkml:context>
    <inkml:brush xml:id="br0">
      <inkml:brushProperty name="width" value="0.5" units="cm"/>
      <inkml:brushProperty name="height" value="1" units="cm"/>
      <inkml:brushProperty name="tip" value="rectangle"/>
      <inkml:brushProperty name="rasterOp" value="maskPen"/>
    </inkml:brush>
  </inkml:definitions>
  <inkml:trace contextRef="#ctx0" brushRef="#br0">80 0 0,'0'0'328,"0"0"-312,-26 0-16,26 27 15,0-27-15,0 0 16,0 27-16,0-27 15,-27 0-15,27 25 16,-27-25 93,27 0-93,0 28-16,0-2 15,0-26-15,0 28 16,0-28 327,0 0-280,27 0 93,-27 0-141,27 0 79,-27 0 218,0 26-281,0 1 0,0-27-15,0 26 15,0-26-15,0 28-16,0-28 15,0 26 1,0 2-16,0-28 15,0 25 1,0-25 15,0 27 47,0 0-62,0-27 15,0 27-31,0-27 16,0 27-1,0-27 16,0 25 1,0 3-17,0-28 16,0 26 1,0-26 14,0 28-46,0-2 16,0-26-16,0 27 16,0-27-1,0 26 1,0-26-16,0 28 15,0-28 17,0 26-32,0-26 31,0 26 0,0-26-15,0 27-1,0-27-15,0 27 16,0-27-16,0 27 15,-27-27-15,27 0 16,0 27-16,0-27 16,-27 0-16,27 26 15,0 1-15,0-27 16,0 27 62,0-27-63,0 27 1,0 0 0,0-27-1,0 25 110,0-25-109,0 0-16,0 27 31,0-27 0,0 27 0,0 0-15,0-27-1,27 27 1,-27-27 0,0 26 15,0-26-16,0 27 17,27 0-17,-27-27-15,0 27 31,0-27 79,0 27-64,0-1 17,0-26-32,0 27-15,0-27-1,0 27 1,0-27-1,0 27 17,0-1-32,0-26 15,0 27 1,0-27-16,0 26 15,0 1 1,0-27 15,0 27-15,0-27-1,0 27 17,0-27-17,0 0-15,0 26 16,0 1-16,0-27 15,0 27 17,0-27-17,0 27 1,0 0-1,0-27-15,0 0 16,0 25 0,0-25-16,0 0 15,0 28-15,0-28 16,-27 0-16,27 26 15,0 2 157,0-28-172,0 26 16,0-26-1,0 27 1,0-1-1,0-26 63,0 28-62,0-28 0,0 26-16,0-26 15,0 26 94,0 1-93,0-27 0,0 27-16,0-27 15,0 27 16,0-1-15,0-26 0,0 27-1,0-27 94,0 26-93,0-26 0,0 28-1,0-2 1,0-26 31,0 28-32,0-28-15,0 25 16,0 3-16,0-28 15,0 0-15,0 26 16,0-26-16,-27 28 16,27-28-1,0 26 141,0 0-156,0-26 16,0 27-16,0-27 15,0 26-15,0 2 188,0-28-173,0 26 1,0-26-1,0 27 1,0-27-16,0 26 31,0 2-15,0-28 46,0 26-46,0-26-16,0 28 187,0-3-187,0-25 16,27 28-16,-27-28 15,0 26 172,0-26-171,0 27 0,0 0 15,0-27 109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28.34025" units="1/cm"/>
          <inkml:channelProperty channel="Y" name="resolution" value="28.33948" units="1/cm"/>
          <inkml:channelProperty channel="T" name="resolution" value="1" units="1/dev"/>
        </inkml:channelProperties>
      </inkml:inkSource>
      <inkml:timestamp xml:id="ts0" timeString="2019-01-11T21:58:27.059"/>
    </inkml:context>
    <inkml:brush xml:id="br0">
      <inkml:brushProperty name="width" value="0.5" units="cm"/>
      <inkml:brushProperty name="height" value="1" units="cm"/>
      <inkml:brushProperty name="tip" value="rectangle"/>
      <inkml:brushProperty name="rasterOp" value="maskPen"/>
    </inkml:brush>
  </inkml:definitions>
  <inkml:trace contextRef="#ctx0" brushRef="#br0">27 0 0,'0'0'343,"0"0"-327,0 0-1,0 26 1,0 2-1,0-28 1,0 25 15,0-25-15,0 28-1,0-2 1,0-26 15,0 28 0,0-28-15,0 26-16,0-26 16,0 27-1,0-1 1,0-26-1,0 28 1,0-28-16,0 26 16,0 1-16,0-27 15,0 26 1,0-26-1,0 27 1,0-27 0,0 27-16,0 0 31,0-27-31,0 27 15,0-27 1,0 25 0,0 3-1,0-28 16,0 26-31,0-26 16,0 28 0,0-28-1,0 26-15,0 1 16,0-27-1,0 26 1,0-26 0,0 27-1,0 0 1,0-27-16,0 26 15,0-26 17,0 27-17,0-27 1,0 27-1,0 0 1,0-27-16,0 27 16,0-27 15,0 26 0,0-26-15,0 27-1,0 0 1,0-27-1,0 0 1,0 27-16,0-27 16,0 26-16,0 0 31,0-26 16,0 27-16,0-27-16,0 27 1,0-27 0,0 27-1,0 0 1,0-27-1,0 26 17,0-26-17,0 27 48,0 0-32,0-27-16,0 27 1,0-27 0,0 27-1,0-27 16,0 26 1,0 1-32,0-27 15,0 26 1,0-26-1,0 28 1,0-2 15,0-26 0,0 27-15,0-27 0,0 26-1,0-26 1,27 0-16,-27 27 15,0 0-15,0-27 16,0 27 0,0-27-1,0 26-15,0 1 16,0-27-1,0 27 1,0-27 0,0 26-1,0-26-15,0 28 31,0-3-31,0-25 16,0 28 0,0-28 15,0 26-16,0 2 1,0-28-16,0 26 16,0-26-16,0 27 15,0-27-15,0 26 16,0 2-1,0-28 1,0 26 0,0-26-1,0 26 1,0 1-1,0-27 1,0 26 0,0-26 15,0 28-16,0-28 1,0 26 0,0 1-1,0-27-15,0 26 16,0-26-1,0 0 1,0 28 0,0-2-1,0-26 1,0 28-1,0-28-15,0 25 16,0-25-16,0 28 16,0-2-1,0-26 1,0 27 15,0-27 141,0 27-172,0-1 15,0-26-15,0 27 16,0-1-16,0 2 15,0-2-15,-27 1 16,27-1-16,-27 2 16,27-2-16,0-26 15,0 0 1,0 28 46,0-28-15,0 25-16,0-25 234,0 27-187,0 0 0,0-27-62,0 27 0,0-27-1,0 27 48,0-27-48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="70" zoomScaleNormal="70" workbookViewId="0"/>
  </sheetViews>
  <sheetFormatPr defaultRowHeight="12.75" x14ac:dyDescent="0.2"/>
  <cols>
    <col min="4" max="4" width="10.7109375" customWidth="1"/>
    <col min="5" max="5" width="24.42578125" customWidth="1"/>
    <col min="7" max="7" width="4.7109375" customWidth="1"/>
    <col min="8" max="8" width="43.7109375" customWidth="1"/>
    <col min="9" max="9" width="18.5703125" customWidth="1"/>
    <col min="10" max="10" width="14.7109375" customWidth="1"/>
    <col min="11" max="11" width="9.5703125" bestFit="1" customWidth="1"/>
  </cols>
  <sheetData>
    <row r="1" spans="1:10" ht="15.75" x14ac:dyDescent="0.25">
      <c r="H1" s="4" t="s">
        <v>20</v>
      </c>
    </row>
    <row r="2" spans="1:10" ht="15.75" x14ac:dyDescent="0.25">
      <c r="H2" s="4" t="s">
        <v>22</v>
      </c>
    </row>
    <row r="3" spans="1:10" x14ac:dyDescent="0.2">
      <c r="H3" s="1" t="s">
        <v>12</v>
      </c>
    </row>
    <row r="4" spans="1:10" x14ac:dyDescent="0.2">
      <c r="H4" s="1" t="s">
        <v>30</v>
      </c>
    </row>
    <row r="5" spans="1:10" x14ac:dyDescent="0.2">
      <c r="H5" s="1" t="s">
        <v>29</v>
      </c>
    </row>
    <row r="6" spans="1:10" x14ac:dyDescent="0.2">
      <c r="H6" s="1" t="s">
        <v>0</v>
      </c>
    </row>
    <row r="7" spans="1:10" ht="15.75" x14ac:dyDescent="0.25">
      <c r="A7" s="5" t="s">
        <v>63</v>
      </c>
      <c r="B7" s="5"/>
      <c r="C7" s="5"/>
      <c r="D7" s="5"/>
      <c r="E7" s="5"/>
      <c r="F7" s="47">
        <v>12</v>
      </c>
      <c r="H7" s="2">
        <v>39317</v>
      </c>
    </row>
    <row r="8" spans="1:10" ht="15.75" x14ac:dyDescent="0.25">
      <c r="A8" s="5"/>
      <c r="B8" s="5"/>
      <c r="C8" s="5"/>
      <c r="D8" s="5"/>
      <c r="E8" s="5"/>
      <c r="F8" s="5"/>
    </row>
    <row r="9" spans="1:10" ht="15.75" x14ac:dyDescent="0.25">
      <c r="A9" s="5" t="s">
        <v>7</v>
      </c>
      <c r="B9" s="5"/>
      <c r="C9" s="5"/>
      <c r="D9" s="5"/>
      <c r="E9" s="5"/>
      <c r="F9" s="47">
        <v>16</v>
      </c>
      <c r="H9" t="s">
        <v>9</v>
      </c>
    </row>
    <row r="10" spans="1:10" ht="15.75" x14ac:dyDescent="0.25">
      <c r="A10" s="5"/>
      <c r="B10" s="5"/>
      <c r="C10" s="5"/>
      <c r="D10" s="5"/>
      <c r="E10" s="5"/>
      <c r="F10" s="5"/>
    </row>
    <row r="11" spans="1:10" ht="15.75" x14ac:dyDescent="0.25">
      <c r="A11" s="5" t="s">
        <v>24</v>
      </c>
      <c r="B11" s="5"/>
      <c r="C11" s="5"/>
      <c r="D11" s="5"/>
      <c r="E11" s="5"/>
      <c r="F11" s="47">
        <v>160</v>
      </c>
      <c r="H11" t="s">
        <v>27</v>
      </c>
    </row>
    <row r="12" spans="1:10" ht="20.25" x14ac:dyDescent="0.3">
      <c r="A12" s="5"/>
      <c r="B12" s="5"/>
      <c r="C12" s="5"/>
      <c r="D12" s="5"/>
      <c r="E12" s="5"/>
      <c r="F12" s="5"/>
      <c r="I12" s="39">
        <f>+F9</f>
        <v>16</v>
      </c>
    </row>
    <row r="13" spans="1:10" ht="15.75" x14ac:dyDescent="0.25">
      <c r="A13" s="5" t="s">
        <v>23</v>
      </c>
      <c r="B13" s="5"/>
      <c r="C13" s="5"/>
      <c r="D13" s="5"/>
      <c r="E13" s="5"/>
      <c r="F13" s="47">
        <v>0.35</v>
      </c>
      <c r="H13" s="13" t="s">
        <v>26</v>
      </c>
    </row>
    <row r="14" spans="1:10" ht="20.25" x14ac:dyDescent="0.3">
      <c r="B14" s="5"/>
      <c r="C14" s="5"/>
      <c r="D14" s="5"/>
      <c r="E14" s="5"/>
      <c r="F14" s="14" t="str">
        <f>+IF(F13&gt;1,"Cell F13 must be less than 1"," ")</f>
        <v xml:space="preserve"> </v>
      </c>
      <c r="J14" s="39">
        <f>+F7</f>
        <v>12</v>
      </c>
    </row>
    <row r="15" spans="1:10" ht="15.75" x14ac:dyDescent="0.25">
      <c r="A15" s="5" t="s">
        <v>1</v>
      </c>
      <c r="B15" s="5"/>
      <c r="C15" s="5"/>
      <c r="D15" s="5"/>
      <c r="E15" s="5"/>
      <c r="F15" s="47">
        <v>6</v>
      </c>
      <c r="H15" t="s">
        <v>37</v>
      </c>
    </row>
    <row r="16" spans="1:10" ht="15.75" x14ac:dyDescent="0.25">
      <c r="A16" s="5"/>
      <c r="B16" s="5"/>
      <c r="C16" s="5"/>
      <c r="D16" s="5"/>
      <c r="E16" s="5"/>
      <c r="F16" s="14" t="str">
        <f>+IF(F15&gt;24,"Consider a thinner layer in cell F15", " ")</f>
        <v xml:space="preserve"> </v>
      </c>
    </row>
    <row r="17" spans="1:18" ht="15.75" x14ac:dyDescent="0.25">
      <c r="A17" s="5" t="s">
        <v>11</v>
      </c>
      <c r="B17" s="5"/>
      <c r="C17" s="5"/>
      <c r="D17" s="5"/>
      <c r="E17" s="5" t="s">
        <v>202</v>
      </c>
      <c r="F17" s="5"/>
      <c r="H17" s="5" t="s">
        <v>13</v>
      </c>
    </row>
    <row r="18" spans="1:18" ht="15.75" x14ac:dyDescent="0.25">
      <c r="A18" s="6" t="s">
        <v>38</v>
      </c>
      <c r="B18" s="5"/>
      <c r="C18" s="5"/>
      <c r="D18" s="5"/>
      <c r="E18" s="5"/>
      <c r="F18" s="5"/>
      <c r="H18" s="5"/>
    </row>
    <row r="19" spans="1:18" ht="15.75" x14ac:dyDescent="0.25">
      <c r="A19" s="5" t="s">
        <v>2</v>
      </c>
      <c r="B19" s="5"/>
      <c r="C19" s="15" t="s">
        <v>35</v>
      </c>
      <c r="D19" s="5"/>
      <c r="E19" s="5"/>
      <c r="F19" s="52">
        <v>40000</v>
      </c>
      <c r="G19" s="19">
        <f>IF(F19&gt;0,H19,0)</f>
        <v>100</v>
      </c>
      <c r="H19" s="50">
        <v>100</v>
      </c>
      <c r="I19" s="14" t="str">
        <f>IF(AND(F19&gt;0,H19&lt;1), "Error in Cell F19 or H19", IF(AND(F19&lt;1,H19&gt;0),"Error in Cell F19 or H19"," "))</f>
        <v xml:space="preserve"> </v>
      </c>
    </row>
    <row r="20" spans="1:18" ht="15.75" x14ac:dyDescent="0.25">
      <c r="A20" s="5" t="s">
        <v>3</v>
      </c>
      <c r="B20" s="5"/>
      <c r="C20" s="15" t="s">
        <v>35</v>
      </c>
      <c r="D20" s="5"/>
      <c r="E20" s="5"/>
      <c r="F20" s="52">
        <v>40000</v>
      </c>
      <c r="G20" s="19">
        <f>IF(F20&gt;0,H20,0)</f>
        <v>100</v>
      </c>
      <c r="H20" s="50">
        <v>100</v>
      </c>
      <c r="I20" s="14" t="str">
        <f>IF(AND(F20&gt;0,H20&lt;1), "Error in Cell F20 or H20", IF(AND(F20&lt;1,H20&gt;0),"Error in Cell F20 or H20"," "))</f>
        <v xml:space="preserve"> </v>
      </c>
    </row>
    <row r="21" spans="1:18" ht="15.75" x14ac:dyDescent="0.25">
      <c r="A21" s="5" t="s">
        <v>4</v>
      </c>
      <c r="B21" s="5"/>
      <c r="C21" s="15" t="s">
        <v>35</v>
      </c>
      <c r="D21" s="5"/>
      <c r="E21" s="5"/>
      <c r="F21" s="52">
        <v>0</v>
      </c>
      <c r="G21" s="19">
        <f>IF(F21&gt;0,H21,0)</f>
        <v>0</v>
      </c>
      <c r="H21" s="50">
        <v>0</v>
      </c>
      <c r="I21" s="14" t="str">
        <f>IF(AND(F21&gt;0,H21&lt;1), "Error in Cell F21 or H21", IF(AND(F21&lt;1,H21&gt;0),"Error in Cell F21 or H21"," "))</f>
        <v xml:space="preserve"> </v>
      </c>
    </row>
    <row r="22" spans="1:18" ht="15.75" x14ac:dyDescent="0.25">
      <c r="A22" s="5" t="s">
        <v>5</v>
      </c>
      <c r="B22" s="5"/>
      <c r="C22" s="15" t="s">
        <v>35</v>
      </c>
      <c r="D22" s="5"/>
      <c r="E22" s="5"/>
      <c r="F22" s="52">
        <v>0</v>
      </c>
      <c r="G22" s="19">
        <f>IF(F22&gt;0,H22,0)</f>
        <v>0</v>
      </c>
      <c r="H22" s="50">
        <v>0</v>
      </c>
      <c r="I22" s="14" t="str">
        <f>IF(AND(F22&gt;0,H22&lt;1), "Error in Cell F22 or H22", IF(AND(F22&lt;1,H22&gt;0),"Error in Cell F22 or H22"," "))</f>
        <v xml:space="preserve"> </v>
      </c>
    </row>
    <row r="23" spans="1:18" ht="15.75" x14ac:dyDescent="0.25">
      <c r="A23" s="5" t="s">
        <v>32</v>
      </c>
      <c r="C23" s="5"/>
      <c r="D23" s="5"/>
      <c r="E23" s="5"/>
      <c r="F23" s="53">
        <f>+F19*H19/100 +F20*H20/100+F21*H21/100+F22*H22/100</f>
        <v>80000</v>
      </c>
      <c r="M23" s="17"/>
      <c r="N23" s="17"/>
    </row>
    <row r="24" spans="1:18" ht="15.75" x14ac:dyDescent="0.25">
      <c r="A24" s="5" t="s">
        <v>8</v>
      </c>
      <c r="B24" s="5"/>
      <c r="C24" s="5"/>
      <c r="D24" s="5"/>
      <c r="E24" s="5"/>
      <c r="F24" s="8">
        <f>+(+F7+F9)/2</f>
        <v>14</v>
      </c>
      <c r="H24" s="45" t="s">
        <v>14</v>
      </c>
    </row>
    <row r="25" spans="1:18" ht="15.75" x14ac:dyDescent="0.25">
      <c r="A25" s="5"/>
      <c r="B25" s="5"/>
      <c r="C25" s="5"/>
      <c r="D25" s="5"/>
      <c r="E25" s="5"/>
      <c r="F25" s="46"/>
      <c r="I25" s="17"/>
      <c r="N25" s="57"/>
    </row>
    <row r="26" spans="1:18" ht="15.75" x14ac:dyDescent="0.25">
      <c r="B26" s="5"/>
      <c r="C26" s="5"/>
      <c r="D26" s="5"/>
      <c r="E26" s="5"/>
      <c r="I26" s="20"/>
      <c r="N26" s="58"/>
    </row>
    <row r="27" spans="1:18" ht="15.75" x14ac:dyDescent="0.25">
      <c r="A27" s="6" t="s">
        <v>66</v>
      </c>
      <c r="B27" s="5"/>
      <c r="C27" s="5"/>
      <c r="D27" s="5"/>
      <c r="E27" s="5"/>
      <c r="F27" s="5"/>
      <c r="N27" s="58"/>
    </row>
    <row r="28" spans="1:18" ht="15.75" x14ac:dyDescent="0.25">
      <c r="D28" s="9" t="s">
        <v>6</v>
      </c>
      <c r="E28" s="9"/>
      <c r="F28" s="37">
        <f>+MAX(K32:N35)</f>
        <v>440.95855184409851</v>
      </c>
      <c r="H28" s="115" t="s">
        <v>10</v>
      </c>
      <c r="I28" s="115"/>
    </row>
    <row r="29" spans="1:18" ht="15.75" x14ac:dyDescent="0.25">
      <c r="A29" s="9" t="s">
        <v>68</v>
      </c>
      <c r="B29" s="11"/>
      <c r="C29" s="11"/>
      <c r="D29" s="11"/>
      <c r="E29" s="11"/>
      <c r="F29" s="37">
        <f>F35/F13</f>
        <v>44.181915305810371</v>
      </c>
      <c r="H29" s="116" t="s">
        <v>73</v>
      </c>
      <c r="I29" s="116"/>
    </row>
    <row r="30" spans="1:18" ht="15.75" x14ac:dyDescent="0.25">
      <c r="A30" s="9" t="s">
        <v>69</v>
      </c>
      <c r="B30" s="11"/>
      <c r="C30" s="11"/>
      <c r="D30" s="11"/>
      <c r="E30" s="11"/>
      <c r="F30" s="37">
        <f>F13*93.6 +(1-F13)*62.4</f>
        <v>73.319999999999993</v>
      </c>
      <c r="H30" s="3" t="s">
        <v>75</v>
      </c>
      <c r="I30" s="117"/>
      <c r="L30" s="54" t="s">
        <v>71</v>
      </c>
      <c r="M30" s="19"/>
    </row>
    <row r="31" spans="1:18" x14ac:dyDescent="0.2">
      <c r="J31" s="19" t="s">
        <v>67</v>
      </c>
      <c r="K31" s="19">
        <v>19</v>
      </c>
      <c r="L31" s="19">
        <v>20</v>
      </c>
      <c r="M31" s="19">
        <v>21</v>
      </c>
      <c r="N31" s="19">
        <v>22</v>
      </c>
      <c r="O31" s="22"/>
      <c r="P31" s="22"/>
      <c r="Q31" s="22"/>
      <c r="R31" s="22"/>
    </row>
    <row r="32" spans="1:18" ht="15.75" x14ac:dyDescent="0.25">
      <c r="E32" s="9" t="s">
        <v>76</v>
      </c>
      <c r="F32" s="51">
        <f>1-(F29/F30)</f>
        <v>0.39740977487983664</v>
      </c>
      <c r="H32" s="3" t="s">
        <v>77</v>
      </c>
      <c r="I32" s="116"/>
      <c r="J32" s="19">
        <v>19</v>
      </c>
      <c r="K32" s="21">
        <f>+($F$19/$F$15)*($F$13*$G$19/$F$11/100)^0.5</f>
        <v>311.80478223116182</v>
      </c>
      <c r="L32" s="21">
        <f>+(($F$19*$G$19+$F$20*$G$20)/IF($G$19+$G$20,$G$19+$G$20,1)/$F$15)*($F$13*SUM($G$19:$G$20)/$F$11/100)^0.5</f>
        <v>440.95855184409851</v>
      </c>
      <c r="M32" s="21">
        <f>+(($F$19*$G$19+$F$20*$G$20+$F$21*$G$21)/IF($G$19+$G$20+$G$21,$G$19+$G$20+$G$21,1)/$F$15)*($F$13*SUM($G$19:$G$21)/$F$11/100)^0.5</f>
        <v>440.95855184409851</v>
      </c>
      <c r="N32" s="21">
        <f>+(($F$19*$G$19+$F$20*$G$20+$F$21*$G$21+$F$22*$G$22)/IF(SUM($G$19:$G$22),SUM($G$19:$G$22),1)/$F$15)*($F$13*SUM($G$19:$G$22)/$F$11/100)^0.5</f>
        <v>440.95855184409851</v>
      </c>
      <c r="O32" s="22"/>
      <c r="P32" s="22"/>
      <c r="Q32" s="22"/>
      <c r="R32" s="22"/>
    </row>
    <row r="33" spans="1:18" ht="15.75" x14ac:dyDescent="0.25">
      <c r="J33" s="19">
        <v>20</v>
      </c>
      <c r="K33" s="21"/>
      <c r="L33" s="21">
        <f>+($F$20/$F$15)*($F$13*$G$20/$F$11/100)^0.5</f>
        <v>311.80478223116182</v>
      </c>
      <c r="M33" s="21">
        <f>+(($F$20*$G$20+$F$21*$G$21)/IF($G$20+$G$21,$G$20+$G$21,1)/$F$15)*($F$13*SUM($G$20:$G$21)/$F$11/100)^0.5</f>
        <v>311.80478223116182</v>
      </c>
      <c r="N33" s="21">
        <f>+(($F$20*$G$20+$F$21*$G$21+$F$22*$G$22)/IF(SUM($G$20:$G$22),SUM($G$20:$G$22),1)/$F$15)*($F$13*SUM($G$20:$G$22)/$F$11/100)^0.5</f>
        <v>311.80478223116182</v>
      </c>
      <c r="O33" s="22"/>
      <c r="P33" s="22"/>
      <c r="Q33" s="22"/>
      <c r="R33" s="22"/>
    </row>
    <row r="34" spans="1:18" ht="15.75" x14ac:dyDescent="0.25">
      <c r="J34" s="19">
        <v>21</v>
      </c>
      <c r="K34" s="21">
        <f>+(($F$19*$G$19+$F$21*$G21)/IF($G$19+$G21,$G$19+$G21,1)/$F$15)*($F$13*SUM($G$19,$G21)/$F$11/100)^0.5</f>
        <v>311.80478223116182</v>
      </c>
      <c r="L34" s="21"/>
      <c r="M34" s="21">
        <f>+($F$21/$F$15)*(($F$13*$G$21)/$F$11/100)^0.5</f>
        <v>0</v>
      </c>
      <c r="N34" s="21">
        <f>+(($F$21*$G$21+$F$22*$G$22)/IF($G$21+$G$22,$G$21+$G$22,1)/$F$15)*($F$13*SUM($G$21:$G$22)/$F$11/100)^0.5</f>
        <v>0</v>
      </c>
      <c r="O34" s="22"/>
      <c r="P34" s="22"/>
      <c r="Q34" s="22"/>
      <c r="R34" s="22"/>
    </row>
    <row r="35" spans="1:18" ht="15.75" x14ac:dyDescent="0.25">
      <c r="A35" s="9" t="s">
        <v>15</v>
      </c>
      <c r="B35" s="9"/>
      <c r="C35" s="9"/>
      <c r="D35" s="9"/>
      <c r="E35" s="9"/>
      <c r="F35" s="37">
        <f>+IF(F36&lt;J37,F36,J37)</f>
        <v>15.463670357033628</v>
      </c>
      <c r="H35" s="3" t="s">
        <v>70</v>
      </c>
      <c r="I35" s="116"/>
      <c r="J35" s="19">
        <v>22</v>
      </c>
      <c r="K35" s="21">
        <f>+(($F$19*$G$19+$F$22*$G$22)/IF($G$19+$G$22,$G$19+$G$22,1)/$F$15)*($F$13*SUM($G$19,$G$22)/$F$11/100)^0.5</f>
        <v>311.80478223116182</v>
      </c>
      <c r="L35" s="21">
        <f>+(($F$20*$G$20+$F$22*$G$22)/IF($G$20+$G$22,$G$20+$G$22,1)/$F$15)*($F$13*SUM($G$20,$G$22)/$F$11/100)^0.5</f>
        <v>311.80478223116182</v>
      </c>
      <c r="M35" s="21">
        <f>+(($F$19*$G$19+$F$21*$G$21+$F$22*$G$22)/IF($G$19+$G$21+$G$22,$G$19+$G$21+$G$22,1)/$F$15)*($F$13*SUM($G$19,$G$21:$G$22)/$F$11/100)^0.5</f>
        <v>311.80478223116182</v>
      </c>
      <c r="N35" s="21">
        <f>+($F$22/$F$15)*($F$13*$G$22/$F$11/100)^0.5</f>
        <v>0</v>
      </c>
      <c r="O35" s="22"/>
      <c r="P35" s="22"/>
      <c r="Q35" s="22"/>
      <c r="R35" s="22"/>
    </row>
    <row r="36" spans="1:18" ht="15.75" x14ac:dyDescent="0.25">
      <c r="A36" s="9" t="s">
        <v>33</v>
      </c>
      <c r="B36" s="11"/>
      <c r="C36" s="11"/>
      <c r="D36" s="11"/>
      <c r="E36" s="11"/>
      <c r="F36" s="37">
        <f>+F13*(F13*93.6+(1-F13)*62.4)</f>
        <v>25.661999999999995</v>
      </c>
      <c r="H36" s="3" t="s">
        <v>74</v>
      </c>
      <c r="I36" s="116"/>
      <c r="J36" s="55" t="s">
        <v>72</v>
      </c>
      <c r="K36" s="22"/>
      <c r="L36" s="22"/>
      <c r="M36" s="22"/>
      <c r="N36" s="22"/>
      <c r="O36" s="22"/>
      <c r="P36" s="22"/>
      <c r="Q36" s="22"/>
      <c r="R36" s="22"/>
    </row>
    <row r="37" spans="1:18" x14ac:dyDescent="0.2">
      <c r="A37" s="10" t="str">
        <f>+IF(F35=F36,"Estimated DM Density controlled by Maximum Achievable Density","")</f>
        <v/>
      </c>
      <c r="J37" s="56">
        <f>(+F28*0.0155 + 8.5)*(0.818+0.0136*F24)</f>
        <v>15.463670357033628</v>
      </c>
      <c r="K37" s="22"/>
      <c r="L37" s="22"/>
      <c r="M37" s="22"/>
      <c r="N37" s="22"/>
      <c r="O37" s="22"/>
      <c r="P37" s="22"/>
      <c r="Q37" s="22"/>
      <c r="R37" s="22"/>
    </row>
    <row r="40" spans="1:18" ht="15.75" x14ac:dyDescent="0.25">
      <c r="A40" s="5"/>
      <c r="B40" s="5"/>
      <c r="C40" s="5"/>
    </row>
    <row r="43" spans="1:18" x14ac:dyDescent="0.2">
      <c r="A43" s="10" t="str">
        <f>+IF(F35=F36,"Estimated DM Density controlled by Maximum Achievable Density","")</f>
        <v/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opLeftCell="A11" zoomScale="75" workbookViewId="0">
      <selection activeCell="F15" sqref="F15"/>
    </sheetView>
  </sheetViews>
  <sheetFormatPr defaultRowHeight="12.75" x14ac:dyDescent="0.2"/>
  <cols>
    <col min="5" max="5" width="22.7109375" customWidth="1"/>
    <col min="7" max="7" width="3.7109375" customWidth="1"/>
    <col min="8" max="8" width="48.7109375" customWidth="1"/>
    <col min="9" max="9" width="17.140625" customWidth="1"/>
    <col min="10" max="10" width="9.28515625" customWidth="1"/>
    <col min="11" max="11" width="16.42578125" customWidth="1"/>
    <col min="12" max="12" width="9.5703125" bestFit="1" customWidth="1"/>
  </cols>
  <sheetData>
    <row r="1" spans="1:11" ht="15.75" x14ac:dyDescent="0.25">
      <c r="H1" s="4" t="s">
        <v>20</v>
      </c>
    </row>
    <row r="2" spans="1:11" ht="15.75" x14ac:dyDescent="0.25">
      <c r="H2" s="4" t="s">
        <v>21</v>
      </c>
    </row>
    <row r="3" spans="1:11" x14ac:dyDescent="0.2">
      <c r="H3" s="1" t="s">
        <v>12</v>
      </c>
    </row>
    <row r="4" spans="1:11" x14ac:dyDescent="0.2">
      <c r="H4" s="1" t="s">
        <v>30</v>
      </c>
    </row>
    <row r="5" spans="1:11" x14ac:dyDescent="0.2">
      <c r="H5" s="1" t="s">
        <v>29</v>
      </c>
    </row>
    <row r="6" spans="1:11" x14ac:dyDescent="0.2">
      <c r="H6" s="1" t="s">
        <v>0</v>
      </c>
    </row>
    <row r="7" spans="1:11" ht="15.75" x14ac:dyDescent="0.25">
      <c r="A7" s="5" t="s">
        <v>64</v>
      </c>
      <c r="B7" s="5"/>
      <c r="C7" s="5"/>
      <c r="D7" s="5"/>
      <c r="E7" s="5"/>
      <c r="F7" s="47">
        <v>3.66</v>
      </c>
      <c r="H7" s="2">
        <v>39317</v>
      </c>
    </row>
    <row r="8" spans="1:11" ht="15.75" x14ac:dyDescent="0.25">
      <c r="A8" s="5"/>
      <c r="B8" s="5"/>
      <c r="C8" s="5"/>
      <c r="D8" s="5"/>
      <c r="E8" s="5"/>
      <c r="F8" s="5"/>
    </row>
    <row r="9" spans="1:11" ht="15.75" x14ac:dyDescent="0.25">
      <c r="A9" s="5" t="s">
        <v>16</v>
      </c>
      <c r="B9" s="5"/>
      <c r="C9" s="5"/>
      <c r="D9" s="5"/>
      <c r="E9" s="5"/>
      <c r="F9" s="47">
        <v>4.88</v>
      </c>
      <c r="H9" t="s">
        <v>9</v>
      </c>
    </row>
    <row r="10" spans="1:11" ht="15.75" x14ac:dyDescent="0.25">
      <c r="A10" s="5"/>
      <c r="B10" s="5"/>
      <c r="C10" s="5"/>
      <c r="D10" s="5"/>
      <c r="E10" s="5"/>
      <c r="F10" s="5"/>
    </row>
    <row r="11" spans="1:11" ht="15.75" x14ac:dyDescent="0.25">
      <c r="A11" s="5" t="s">
        <v>25</v>
      </c>
      <c r="B11" s="5"/>
      <c r="C11" s="5"/>
      <c r="D11" s="5"/>
      <c r="E11" s="5"/>
      <c r="F11" s="47">
        <v>145.1</v>
      </c>
      <c r="H11" t="s">
        <v>28</v>
      </c>
    </row>
    <row r="12" spans="1:11" ht="20.25" x14ac:dyDescent="0.3">
      <c r="A12" s="5"/>
      <c r="B12" s="5"/>
      <c r="C12" s="5"/>
      <c r="D12" s="5"/>
      <c r="E12" s="5"/>
      <c r="F12" s="5"/>
      <c r="J12" s="40">
        <f>+F9</f>
        <v>4.88</v>
      </c>
    </row>
    <row r="13" spans="1:11" ht="15.75" x14ac:dyDescent="0.25">
      <c r="A13" s="5" t="s">
        <v>23</v>
      </c>
      <c r="B13" s="5"/>
      <c r="C13" s="5"/>
      <c r="D13" s="5"/>
      <c r="E13" s="5"/>
      <c r="F13" s="47">
        <v>0.35</v>
      </c>
      <c r="H13" s="13" t="s">
        <v>26</v>
      </c>
    </row>
    <row r="14" spans="1:11" ht="20.25" x14ac:dyDescent="0.3">
      <c r="B14" s="5"/>
      <c r="C14" s="5"/>
      <c r="D14" s="5"/>
      <c r="E14" s="5"/>
      <c r="F14" s="14" t="str">
        <f>+IF(F13&gt;1,"Cell F13 must be less than 1"," ")</f>
        <v xml:space="preserve"> </v>
      </c>
      <c r="K14" s="40">
        <f>+F7</f>
        <v>3.66</v>
      </c>
    </row>
    <row r="15" spans="1:11" ht="15.75" x14ac:dyDescent="0.25">
      <c r="A15" s="5" t="s">
        <v>19</v>
      </c>
      <c r="B15" s="5"/>
      <c r="C15" s="5"/>
      <c r="D15" s="5"/>
      <c r="E15" s="5"/>
      <c r="F15" s="47">
        <v>15.24</v>
      </c>
      <c r="H15" t="s">
        <v>36</v>
      </c>
    </row>
    <row r="16" spans="1:11" ht="15.75" x14ac:dyDescent="0.25">
      <c r="A16" s="5"/>
      <c r="B16" s="5"/>
      <c r="C16" s="5"/>
      <c r="D16" s="5"/>
      <c r="E16" s="5"/>
      <c r="F16" s="14" t="str">
        <f>+IF(F15&gt;60,"Consider a thinner layer in cell F15", " ")</f>
        <v xml:space="preserve"> </v>
      </c>
    </row>
    <row r="17" spans="1:14" ht="15.75" x14ac:dyDescent="0.25">
      <c r="A17" s="5" t="s">
        <v>11</v>
      </c>
      <c r="B17" s="5"/>
      <c r="C17" s="5"/>
      <c r="D17" s="5"/>
      <c r="E17" s="5" t="s">
        <v>205</v>
      </c>
      <c r="F17" s="5"/>
      <c r="H17" s="5" t="s">
        <v>13</v>
      </c>
    </row>
    <row r="18" spans="1:14" ht="15.75" x14ac:dyDescent="0.25">
      <c r="A18" s="6" t="s">
        <v>39</v>
      </c>
      <c r="B18" s="5"/>
      <c r="C18" s="5"/>
      <c r="D18" s="5"/>
      <c r="E18" s="5"/>
      <c r="F18" s="5"/>
      <c r="H18" s="5"/>
      <c r="K18" s="18"/>
      <c r="L18" s="18"/>
    </row>
    <row r="19" spans="1:14" ht="15.75" x14ac:dyDescent="0.25">
      <c r="A19" s="5" t="s">
        <v>2</v>
      </c>
      <c r="B19" s="5"/>
      <c r="C19" s="15" t="s">
        <v>40</v>
      </c>
      <c r="D19" s="5"/>
      <c r="E19" s="5"/>
      <c r="F19" s="48">
        <v>18144</v>
      </c>
      <c r="G19" s="19">
        <f>IF(F19&gt;0,H19,0)</f>
        <v>100</v>
      </c>
      <c r="H19" s="50">
        <v>100</v>
      </c>
      <c r="I19" s="14" t="str">
        <f>IF(AND(F19&gt;0,H19&lt;1), "Error in Cell F19 or H19", IF(AND(F19&lt;1,H19&gt;0),"Error in Cell F19 or H19"," "))</f>
        <v xml:space="preserve"> </v>
      </c>
      <c r="J19" s="17"/>
      <c r="K19" s="17"/>
      <c r="L19" s="17"/>
    </row>
    <row r="20" spans="1:14" ht="15.75" x14ac:dyDescent="0.25">
      <c r="A20" s="5" t="s">
        <v>3</v>
      </c>
      <c r="B20" s="5"/>
      <c r="C20" s="15" t="s">
        <v>40</v>
      </c>
      <c r="D20" s="5"/>
      <c r="E20" s="5"/>
      <c r="F20" s="47">
        <v>18144</v>
      </c>
      <c r="G20" s="19">
        <f>IF(F20&gt;0,H20,0)</f>
        <v>100</v>
      </c>
      <c r="H20" s="50">
        <v>100</v>
      </c>
      <c r="I20" s="14" t="str">
        <f>IF(AND(F20&gt;0,H20&lt;1), "Error in Cell F20 or H20", IF(AND(F20&lt;1,H20&gt;0),"Error in Cell F20 or H20"," "))</f>
        <v xml:space="preserve"> </v>
      </c>
      <c r="J20" s="17"/>
      <c r="K20" s="17"/>
      <c r="L20" s="17"/>
      <c r="M20" s="18"/>
    </row>
    <row r="21" spans="1:14" ht="15.75" x14ac:dyDescent="0.25">
      <c r="A21" s="5" t="s">
        <v>4</v>
      </c>
      <c r="B21" s="5"/>
      <c r="C21" s="15" t="s">
        <v>40</v>
      </c>
      <c r="D21" s="5"/>
      <c r="E21" s="5"/>
      <c r="F21" s="49">
        <v>0</v>
      </c>
      <c r="G21" s="19">
        <f>IF(F21&gt;0,H21,0)</f>
        <v>0</v>
      </c>
      <c r="H21" s="50">
        <v>0</v>
      </c>
      <c r="I21" s="14" t="str">
        <f>IF(AND(F21&gt;0,H21&lt;1), "Error in Cell F21 or H21", IF(AND(F21&lt;1,H21&gt;0),"Error in Cell F21 or H21"," "))</f>
        <v xml:space="preserve"> </v>
      </c>
      <c r="J21" s="17"/>
      <c r="K21" s="17"/>
      <c r="L21" s="17"/>
      <c r="M21" s="18"/>
    </row>
    <row r="22" spans="1:14" ht="15.75" x14ac:dyDescent="0.25">
      <c r="A22" s="5" t="s">
        <v>5</v>
      </c>
      <c r="B22" s="5"/>
      <c r="C22" s="15" t="s">
        <v>40</v>
      </c>
      <c r="D22" s="5"/>
      <c r="E22" s="5"/>
      <c r="F22" s="47">
        <v>0</v>
      </c>
      <c r="G22" s="19">
        <f>IF(F22&gt;0,H22,0)</f>
        <v>0</v>
      </c>
      <c r="H22" s="50">
        <v>0</v>
      </c>
      <c r="I22" s="14" t="str">
        <f>IF(AND(F22&gt;0,H22&lt;1), "Error in Cell F22 or H22", IF(AND(F22&lt;1,H22&gt;0),"Error in Cell F22 or H22"," "))</f>
        <v xml:space="preserve"> </v>
      </c>
      <c r="J22" s="17"/>
      <c r="K22" s="17"/>
      <c r="M22" s="18"/>
    </row>
    <row r="23" spans="1:14" ht="15.75" x14ac:dyDescent="0.25">
      <c r="A23" s="5" t="s">
        <v>31</v>
      </c>
      <c r="C23" s="5"/>
      <c r="D23" s="5"/>
      <c r="E23" s="5"/>
      <c r="F23" s="7">
        <f>+F19*H19/100 +F20*H20/100+F21*H21/100+F22*H22/100</f>
        <v>36288</v>
      </c>
      <c r="K23" s="17"/>
      <c r="M23" s="18"/>
    </row>
    <row r="24" spans="1:14" ht="15.75" x14ac:dyDescent="0.25">
      <c r="A24" s="5" t="s">
        <v>17</v>
      </c>
      <c r="B24" s="5"/>
      <c r="C24" s="5"/>
      <c r="D24" s="5"/>
      <c r="E24" s="5"/>
      <c r="F24" s="8">
        <f>+(+F7+F9)/2</f>
        <v>4.2699999999999996</v>
      </c>
      <c r="H24" s="45" t="s">
        <v>14</v>
      </c>
      <c r="K24" s="17"/>
      <c r="M24" s="18"/>
    </row>
    <row r="25" spans="1:14" ht="15.75" x14ac:dyDescent="0.25">
      <c r="A25" s="5"/>
      <c r="B25" s="5"/>
      <c r="C25" s="5"/>
      <c r="D25" s="5"/>
      <c r="E25" s="5"/>
      <c r="F25" s="46"/>
    </row>
    <row r="27" spans="1:14" ht="15.75" x14ac:dyDescent="0.25">
      <c r="A27" s="6" t="s">
        <v>66</v>
      </c>
      <c r="B27" s="5"/>
      <c r="C27" s="5"/>
      <c r="D27" s="5"/>
      <c r="E27" s="5"/>
      <c r="F27" s="5"/>
    </row>
    <row r="28" spans="1:14" ht="15.75" x14ac:dyDescent="0.25">
      <c r="A28" s="5"/>
      <c r="B28" s="5"/>
      <c r="C28" s="5"/>
      <c r="D28" s="9" t="s">
        <v>6</v>
      </c>
      <c r="E28" s="9"/>
      <c r="F28" s="37">
        <f>+MAX(K32:N35)</f>
        <v>2614.9499685899414</v>
      </c>
      <c r="H28" s="11" t="s">
        <v>10</v>
      </c>
      <c r="I28" s="115"/>
      <c r="K28" s="16"/>
    </row>
    <row r="29" spans="1:14" ht="15.75" x14ac:dyDescent="0.25">
      <c r="A29" s="9" t="s">
        <v>79</v>
      </c>
      <c r="B29" s="11"/>
      <c r="C29" s="11"/>
      <c r="D29" s="11"/>
      <c r="E29" s="11"/>
      <c r="F29" s="37">
        <f>F35/F13</f>
        <v>709.15917257554474</v>
      </c>
      <c r="H29" s="3" t="s">
        <v>81</v>
      </c>
      <c r="I29" s="116"/>
    </row>
    <row r="30" spans="1:14" ht="15.75" x14ac:dyDescent="0.25">
      <c r="A30" s="9" t="s">
        <v>80</v>
      </c>
      <c r="B30" s="11"/>
      <c r="C30" s="11"/>
      <c r="D30" s="11"/>
      <c r="E30" s="11"/>
      <c r="F30" s="37">
        <f>F13*1499.47 +(1-F13)*999.65</f>
        <v>1174.587</v>
      </c>
      <c r="H30" s="3" t="s">
        <v>75</v>
      </c>
      <c r="I30" s="117"/>
    </row>
    <row r="31" spans="1:14" x14ac:dyDescent="0.2">
      <c r="J31" s="19"/>
      <c r="K31" s="19">
        <v>19</v>
      </c>
      <c r="L31" s="19">
        <v>20</v>
      </c>
      <c r="M31" s="19">
        <v>21</v>
      </c>
      <c r="N31" s="19">
        <v>22</v>
      </c>
    </row>
    <row r="32" spans="1:14" ht="15.75" x14ac:dyDescent="0.25">
      <c r="E32" s="9" t="s">
        <v>76</v>
      </c>
      <c r="F32" s="51">
        <f>1-(F29/F30)</f>
        <v>0.39624806627730025</v>
      </c>
      <c r="H32" s="3" t="s">
        <v>77</v>
      </c>
      <c r="I32" s="116"/>
      <c r="J32" s="19">
        <v>19</v>
      </c>
      <c r="K32" s="21">
        <f>+($F$19/$F$15)*($F$13*10*$G$19/$F$11)^0.5</f>
        <v>1849.0488552534971</v>
      </c>
      <c r="L32" s="21">
        <f>+(($F$19*$G$19+$F$20*$G$20)/IF($G$19+$G$20,$G$19+$G$20,1)/$F$15)*($F$13*10*SUM($G$19:$G$20)/$F$11)^0.5</f>
        <v>2614.9499685899414</v>
      </c>
      <c r="M32" s="21">
        <f>+(($F$19*$G$19+$F$20*$G$20+$F$21*$G$21)/IF($G$19+$G$20+$G$21,$G$19+$G$20+$G$21,1)/$F$15)*($F$13*10*SUM($G$19:$G$21)/$F$11)^0.5</f>
        <v>2614.9499685899414</v>
      </c>
      <c r="N32" s="21">
        <f>+(($F$19*$G$19+$F$20*$G$20+$F$21*$G$21+$F$22*$G$22)/IF(SUM($G$19:$G$22),SUM($G$19:$G$22),1)/$F$15)*($F$13*10*SUM($G$19:$G$22)/$F$11)^0.5</f>
        <v>2614.9499685899414</v>
      </c>
    </row>
    <row r="33" spans="1:14" ht="15.75" x14ac:dyDescent="0.25">
      <c r="J33" s="19">
        <v>20</v>
      </c>
      <c r="K33" s="21"/>
      <c r="L33" s="21">
        <f>+($F$20/$F$15)*($F$13*10*$G$20/$F$11)^0.5</f>
        <v>1849.0488552534971</v>
      </c>
      <c r="M33" s="21">
        <f>+(($F$20*$G$20+$F$21*$G$21)/IF($G$20+$G$21,$G$20+$G$21,1)/$F$15)*($F$13*10*SUM($G$20:$G$21)/$F$11)^0.5</f>
        <v>1849.0488552534971</v>
      </c>
      <c r="N33" s="21">
        <f>+(($F$20*$G$20+$F$21*$G$21+$F$22*$G$22)/IF(SUM($G$20:$G$22),SUM($G$20:$G$22),1)/$F$15)*($F$13*10*SUM($G$20:$G$22)/$F$11)^0.5</f>
        <v>1849.0488552534971</v>
      </c>
    </row>
    <row r="34" spans="1:14" ht="15.75" x14ac:dyDescent="0.25">
      <c r="J34" s="19">
        <v>21</v>
      </c>
      <c r="K34" s="21">
        <f>+(($F$19*$G$19+$F$21*$G21)/IF($G$19+$G21,$G$19+$G21,1)/$F$15)*($F$13*10*SUM($G$19,$G21)/$F$11)^0.5</f>
        <v>1849.0488552534971</v>
      </c>
      <c r="L34" s="21"/>
      <c r="M34" s="21">
        <f>+($F$21/$F$15)*(($F$13*10*$G$21)/$F$11)^0.5</f>
        <v>0</v>
      </c>
      <c r="N34" s="21">
        <f>+(($F$21*$G$21+$F$22*$G$22)/IF($G$21+$G$22,$G$21+$G$22,1)/$F$15)*($F$13*10*SUM($G$21:$G$22)/$F$11)^0.5</f>
        <v>0</v>
      </c>
    </row>
    <row r="35" spans="1:14" ht="15.75" x14ac:dyDescent="0.25">
      <c r="A35" s="9" t="s">
        <v>18</v>
      </c>
      <c r="B35" s="9"/>
      <c r="C35" s="9"/>
      <c r="D35" s="9"/>
      <c r="E35" s="9"/>
      <c r="F35" s="37">
        <f>+IF(F36&lt;J37,F36,J37)</f>
        <v>248.20571040144063</v>
      </c>
      <c r="H35" s="3" t="s">
        <v>78</v>
      </c>
      <c r="I35" s="116"/>
      <c r="J35" s="19">
        <v>22</v>
      </c>
      <c r="K35" s="21">
        <f>+(($F$19*$G$19+$F$22*$G$22)/IF($G$19+$G$22,$G$19+$G$22,1)/$F$15)*($F$13*10*SUM($G$19,$G$22)/$F$11)^0.5</f>
        <v>1849.0488552534971</v>
      </c>
      <c r="L35" s="21">
        <f>+(($F$20*$G$20+$F$22*$G$22)/IF($G$20+$G$22,$G$20+$G$22,1)/$F$15)*($F$13*10*SUM($G$20,$G$22)/$F$11)^0.5</f>
        <v>1849.0488552534971</v>
      </c>
      <c r="M35" s="21">
        <f>+(($F$19*$G$19+$F$21*$G$21+$F$22*$G$22)/IF($G$19+$G$21+$G$22,$G$19+$G$21+$G$22,1)/$F$15)*($F$13*10*SUM($G$19,$G$21:$G$22)/$F$11)^0.5</f>
        <v>1849.0488552534971</v>
      </c>
      <c r="N35" s="21">
        <f>+($F$22/$F$15)*($F$13*10*$G$22/$F$11)^0.5</f>
        <v>0</v>
      </c>
    </row>
    <row r="36" spans="1:14" ht="15.75" x14ac:dyDescent="0.25">
      <c r="A36" s="9" t="s">
        <v>34</v>
      </c>
      <c r="B36" s="11"/>
      <c r="C36" s="11"/>
      <c r="D36" s="11"/>
      <c r="E36" s="11"/>
      <c r="F36" s="37">
        <f>+F13*(F13*1500 + (1-F13)*1000)</f>
        <v>411.25</v>
      </c>
      <c r="H36" s="3" t="s">
        <v>74</v>
      </c>
      <c r="I36" s="116"/>
    </row>
    <row r="37" spans="1:14" ht="15.75" x14ac:dyDescent="0.25">
      <c r="A37" s="10" t="str">
        <f>+IF(F35=F36,"Estimated DM Density controlled by Maximum Achievable Density","")</f>
        <v/>
      </c>
      <c r="J37" s="12">
        <f>(+F28*0.042 + 136.3)*(0.818+0.0446*F24)</f>
        <v>248.20571040144063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3"/>
  <sheetViews>
    <sheetView topLeftCell="A5" zoomScale="70" zoomScaleNormal="70" workbookViewId="0">
      <selection activeCell="F15" sqref="F15"/>
    </sheetView>
  </sheetViews>
  <sheetFormatPr defaultRowHeight="12.75" x14ac:dyDescent="0.2"/>
  <cols>
    <col min="4" max="4" width="14.140625" customWidth="1"/>
    <col min="5" max="5" width="46.7109375" customWidth="1"/>
    <col min="7" max="7" width="4.7109375" customWidth="1"/>
    <col min="8" max="8" width="43.7109375" customWidth="1"/>
    <col min="9" max="9" width="25.140625" customWidth="1"/>
    <col min="10" max="10" width="14.7109375" customWidth="1"/>
    <col min="11" max="11" width="9.42578125" bestFit="1" customWidth="1"/>
  </cols>
  <sheetData>
    <row r="1" spans="1:10" ht="15.75" x14ac:dyDescent="0.25">
      <c r="H1" s="4" t="s">
        <v>94</v>
      </c>
    </row>
    <row r="2" spans="1:10" ht="15.75" x14ac:dyDescent="0.25">
      <c r="H2" s="4" t="s">
        <v>95</v>
      </c>
    </row>
    <row r="3" spans="1:10" x14ac:dyDescent="0.2">
      <c r="H3" s="1" t="s">
        <v>12</v>
      </c>
    </row>
    <row r="4" spans="1:10" x14ac:dyDescent="0.2">
      <c r="H4" s="1" t="s">
        <v>30</v>
      </c>
    </row>
    <row r="5" spans="1:10" x14ac:dyDescent="0.2">
      <c r="H5" s="1" t="s">
        <v>29</v>
      </c>
    </row>
    <row r="6" spans="1:10" x14ac:dyDescent="0.2">
      <c r="H6" s="1" t="s">
        <v>0</v>
      </c>
    </row>
    <row r="7" spans="1:10" ht="15.75" x14ac:dyDescent="0.25">
      <c r="A7" s="82" t="s">
        <v>96</v>
      </c>
      <c r="B7" s="82"/>
      <c r="C7" s="82"/>
      <c r="D7" s="82"/>
      <c r="E7" s="82"/>
      <c r="F7" s="83">
        <v>12</v>
      </c>
      <c r="H7" s="2">
        <v>39317</v>
      </c>
    </row>
    <row r="8" spans="1:10" ht="15.75" x14ac:dyDescent="0.25">
      <c r="A8" s="82"/>
      <c r="B8" s="82"/>
      <c r="C8" s="82"/>
      <c r="D8" s="82"/>
      <c r="E8" s="82"/>
      <c r="F8" s="82"/>
    </row>
    <row r="9" spans="1:10" ht="15.75" x14ac:dyDescent="0.25">
      <c r="A9" s="82" t="s">
        <v>97</v>
      </c>
      <c r="B9" s="82"/>
      <c r="C9" s="82"/>
      <c r="D9" s="82"/>
      <c r="E9" s="82"/>
      <c r="F9" s="83">
        <v>16</v>
      </c>
      <c r="H9" s="95" t="s">
        <v>98</v>
      </c>
    </row>
    <row r="10" spans="1:10" ht="15.75" x14ac:dyDescent="0.25">
      <c r="A10" s="82"/>
      <c r="B10" s="82"/>
      <c r="C10" s="82"/>
      <c r="D10" s="82"/>
      <c r="E10" s="82"/>
      <c r="F10" s="82"/>
    </row>
    <row r="11" spans="1:10" ht="15.75" x14ac:dyDescent="0.25">
      <c r="A11" s="82" t="s">
        <v>99</v>
      </c>
      <c r="B11" s="82"/>
      <c r="C11" s="82"/>
      <c r="D11" s="82"/>
      <c r="E11" s="82"/>
      <c r="F11" s="83">
        <v>160</v>
      </c>
      <c r="H11" t="s">
        <v>100</v>
      </c>
    </row>
    <row r="12" spans="1:10" ht="20.25" x14ac:dyDescent="0.3">
      <c r="A12" s="82"/>
      <c r="B12" s="82"/>
      <c r="C12" s="82"/>
      <c r="D12" s="82"/>
      <c r="E12" s="82"/>
      <c r="F12" s="82"/>
      <c r="I12" s="39">
        <f>+F9</f>
        <v>16</v>
      </c>
    </row>
    <row r="13" spans="1:10" ht="15.75" x14ac:dyDescent="0.25">
      <c r="A13" s="82" t="s">
        <v>101</v>
      </c>
      <c r="B13" s="82"/>
      <c r="C13" s="82"/>
      <c r="D13" s="82"/>
      <c r="E13" s="82"/>
      <c r="F13" s="83">
        <v>0.35</v>
      </c>
      <c r="H13" t="s">
        <v>102</v>
      </c>
    </row>
    <row r="14" spans="1:10" ht="20.25" x14ac:dyDescent="0.3">
      <c r="B14" s="82"/>
      <c r="C14" s="82"/>
      <c r="D14" s="82"/>
      <c r="E14" s="82"/>
      <c r="F14" s="118" t="str">
        <f>+IF(F13&gt;1,"Celda F13 debe ser menor a 1"," ")</f>
        <v xml:space="preserve"> </v>
      </c>
      <c r="J14" s="39">
        <f>+F7</f>
        <v>12</v>
      </c>
    </row>
    <row r="15" spans="1:10" ht="15.75" x14ac:dyDescent="0.25">
      <c r="A15" s="82" t="s">
        <v>103</v>
      </c>
      <c r="B15" s="82"/>
      <c r="C15" s="82"/>
      <c r="D15" s="82"/>
      <c r="E15" s="82"/>
      <c r="F15" s="83">
        <v>6</v>
      </c>
      <c r="H15" t="s">
        <v>104</v>
      </c>
    </row>
    <row r="16" spans="1:10" ht="15.75" x14ac:dyDescent="0.25">
      <c r="A16" s="82"/>
      <c r="B16" s="82"/>
      <c r="C16" s="82"/>
      <c r="D16" s="82"/>
      <c r="E16" s="82"/>
      <c r="F16" s="118" t="str">
        <f>+IF(F15&gt;24,"Consideramos una capa mas delagada en la Celda F15", " ")</f>
        <v xml:space="preserve"> </v>
      </c>
    </row>
    <row r="17" spans="1:18" ht="15.75" x14ac:dyDescent="0.25">
      <c r="A17" s="82" t="s">
        <v>105</v>
      </c>
      <c r="B17" s="82"/>
      <c r="C17" s="82"/>
      <c r="D17" s="82"/>
      <c r="E17" s="82" t="s">
        <v>203</v>
      </c>
      <c r="F17" s="82"/>
      <c r="H17" s="82" t="s">
        <v>106</v>
      </c>
    </row>
    <row r="18" spans="1:18" ht="15.75" x14ac:dyDescent="0.25">
      <c r="A18" s="84" t="s">
        <v>204</v>
      </c>
      <c r="B18" s="82"/>
      <c r="C18" s="82"/>
      <c r="D18" s="82"/>
      <c r="E18" s="82"/>
      <c r="F18" s="82"/>
      <c r="H18" s="82"/>
    </row>
    <row r="19" spans="1:18" ht="15.75" x14ac:dyDescent="0.25">
      <c r="A19" s="82" t="s">
        <v>2</v>
      </c>
      <c r="B19" s="82"/>
      <c r="C19" s="15" t="s">
        <v>107</v>
      </c>
      <c r="D19" s="82"/>
      <c r="E19" s="82"/>
      <c r="F19" s="85">
        <v>40000</v>
      </c>
      <c r="G19" s="19">
        <f>IF(F19&gt;0,H19,0)</f>
        <v>100</v>
      </c>
      <c r="H19" s="86">
        <v>100</v>
      </c>
      <c r="I19" s="14" t="str">
        <f>IF(AND(F19&gt;0,H19&lt;1), "Error en la Celda F19 o H19", IF(AND(F19&lt;1,H19&gt;0),"Error en la Celda F19 o H19"," "))</f>
        <v xml:space="preserve"> </v>
      </c>
    </row>
    <row r="20" spans="1:18" ht="15.75" x14ac:dyDescent="0.25">
      <c r="A20" s="82" t="s">
        <v>3</v>
      </c>
      <c r="B20" s="82"/>
      <c r="C20" s="15" t="s">
        <v>107</v>
      </c>
      <c r="D20" s="82"/>
      <c r="E20" s="82"/>
      <c r="F20" s="85">
        <v>40000</v>
      </c>
      <c r="G20" s="19">
        <f>IF(F20&gt;0,H20,0)</f>
        <v>100</v>
      </c>
      <c r="H20" s="86">
        <v>100</v>
      </c>
      <c r="I20" s="14" t="str">
        <f>IF(AND(F20&gt;0,H20&lt;1), "Error en la Celda F20 o H20", IF(AND(F20&lt;1,H20&gt;0),"Error en la Celda F20 o H20"," "))</f>
        <v xml:space="preserve"> </v>
      </c>
    </row>
    <row r="21" spans="1:18" ht="15.75" x14ac:dyDescent="0.25">
      <c r="A21" s="82" t="s">
        <v>4</v>
      </c>
      <c r="B21" s="82"/>
      <c r="C21" s="15" t="s">
        <v>107</v>
      </c>
      <c r="D21" s="82"/>
      <c r="E21" s="82"/>
      <c r="F21" s="85">
        <v>0</v>
      </c>
      <c r="G21" s="19">
        <f>IF(F21&gt;0,H21,0)</f>
        <v>0</v>
      </c>
      <c r="H21" s="86">
        <v>0</v>
      </c>
      <c r="I21" s="14" t="str">
        <f>IF(AND(F21&gt;0,H21&lt;1), "Error en la Celda F21 o H21", IF(AND(F21&lt;1,H21&gt;0),"Error en la Celda F21 or H21"," "))</f>
        <v xml:space="preserve"> </v>
      </c>
    </row>
    <row r="22" spans="1:18" ht="15.75" x14ac:dyDescent="0.25">
      <c r="A22" s="82" t="s">
        <v>5</v>
      </c>
      <c r="B22" s="82"/>
      <c r="C22" s="15" t="s">
        <v>107</v>
      </c>
      <c r="D22" s="82"/>
      <c r="E22" s="82"/>
      <c r="F22" s="85">
        <v>0</v>
      </c>
      <c r="G22" s="19">
        <f>IF(F22&gt;0,H22,0)</f>
        <v>0</v>
      </c>
      <c r="H22" s="86">
        <v>0</v>
      </c>
      <c r="I22" s="14" t="str">
        <f>IF(AND(F22&gt;0,H22&lt;1), "Error en la Celda F22 o H22", IF(AND(F22&lt;1,H22&gt;0),"Error en la Celda F22 o H22"," "))</f>
        <v xml:space="preserve"> </v>
      </c>
    </row>
    <row r="23" spans="1:18" ht="15.75" x14ac:dyDescent="0.25">
      <c r="A23" s="82" t="s">
        <v>108</v>
      </c>
      <c r="C23" s="82"/>
      <c r="D23" s="82"/>
      <c r="E23" s="82"/>
      <c r="F23" s="87">
        <f>+F19*H19/100 +F20*H20/100+F21*H21/100+F22*H22/100</f>
        <v>80000</v>
      </c>
      <c r="M23" s="88"/>
      <c r="N23" s="88"/>
    </row>
    <row r="24" spans="1:18" ht="15.75" x14ac:dyDescent="0.25">
      <c r="A24" s="82" t="s">
        <v>109</v>
      </c>
      <c r="B24" s="82"/>
      <c r="C24" s="82"/>
      <c r="D24" s="82"/>
      <c r="E24" s="82"/>
      <c r="F24" s="89">
        <f>+(+F7+F9)/2</f>
        <v>14</v>
      </c>
      <c r="H24" s="45" t="s">
        <v>110</v>
      </c>
    </row>
    <row r="25" spans="1:18" ht="15.75" x14ac:dyDescent="0.25">
      <c r="A25" s="82"/>
      <c r="B25" s="82"/>
      <c r="C25" s="82"/>
      <c r="D25" s="82"/>
      <c r="E25" s="82"/>
      <c r="F25" s="90"/>
      <c r="I25" s="88"/>
      <c r="N25" s="91"/>
    </row>
    <row r="26" spans="1:18" ht="15.75" x14ac:dyDescent="0.25">
      <c r="B26" s="82"/>
      <c r="C26" s="82"/>
      <c r="D26" s="82"/>
      <c r="E26" s="82"/>
      <c r="I26" s="20"/>
      <c r="N26" s="58"/>
    </row>
    <row r="27" spans="1:18" ht="15.75" x14ac:dyDescent="0.25">
      <c r="A27" s="84" t="s">
        <v>66</v>
      </c>
      <c r="B27" s="82"/>
      <c r="C27" s="82"/>
      <c r="D27" s="82"/>
      <c r="E27" s="82"/>
      <c r="F27" s="82"/>
      <c r="N27" s="58"/>
    </row>
    <row r="28" spans="1:18" ht="15.75" x14ac:dyDescent="0.25">
      <c r="D28" s="92" t="s">
        <v>111</v>
      </c>
      <c r="E28" s="92"/>
      <c r="F28" s="93">
        <f>+MAX(K32:N35)</f>
        <v>440.95855184409851</v>
      </c>
      <c r="H28" s="11" t="s">
        <v>112</v>
      </c>
      <c r="I28" s="115"/>
    </row>
    <row r="29" spans="1:18" ht="15.75" x14ac:dyDescent="0.25">
      <c r="A29" s="92" t="s">
        <v>113</v>
      </c>
      <c r="B29" s="11"/>
      <c r="C29" s="11"/>
      <c r="D29" s="11"/>
      <c r="E29" s="11"/>
      <c r="F29" s="93">
        <f>F35/F13</f>
        <v>44.181915305810371</v>
      </c>
      <c r="H29" s="3" t="s">
        <v>114</v>
      </c>
      <c r="I29" s="116"/>
    </row>
    <row r="30" spans="1:18" ht="15.75" x14ac:dyDescent="0.25">
      <c r="A30" s="92" t="s">
        <v>115</v>
      </c>
      <c r="B30" s="11"/>
      <c r="C30" s="11"/>
      <c r="D30" s="11"/>
      <c r="E30" s="11"/>
      <c r="F30" s="93">
        <f>F13*93.6 +(1-F13)*62.4</f>
        <v>73.319999999999993</v>
      </c>
      <c r="H30" s="3" t="s">
        <v>116</v>
      </c>
      <c r="I30" s="117"/>
      <c r="L30" s="54" t="s">
        <v>71</v>
      </c>
      <c r="M30" s="19"/>
    </row>
    <row r="31" spans="1:18" x14ac:dyDescent="0.2">
      <c r="J31" s="19" t="s">
        <v>67</v>
      </c>
      <c r="K31" s="19">
        <v>19</v>
      </c>
      <c r="L31" s="19">
        <v>20</v>
      </c>
      <c r="M31" s="19">
        <v>21</v>
      </c>
      <c r="N31" s="19">
        <v>22</v>
      </c>
      <c r="O31" s="22"/>
      <c r="P31" s="22"/>
      <c r="Q31" s="22"/>
      <c r="R31" s="22"/>
    </row>
    <row r="32" spans="1:18" ht="15.75" x14ac:dyDescent="0.25">
      <c r="E32" s="92" t="s">
        <v>117</v>
      </c>
      <c r="F32" s="94">
        <f>1-(F29/F30)</f>
        <v>0.39740977487983664</v>
      </c>
      <c r="H32" s="3" t="s">
        <v>118</v>
      </c>
      <c r="I32" s="116"/>
      <c r="J32" s="19">
        <v>19</v>
      </c>
      <c r="K32" s="21">
        <f>+($F$19/$F$15)*($F$13*$G$19/$F$11/100)^0.5</f>
        <v>311.80478223116182</v>
      </c>
      <c r="L32" s="21">
        <f>+(($F$19*$G$19+$F$20*$G$20)/IF($G$19+$G$20,$G$19+$G$20,1)/$F$15)*($F$13*SUM($G$19:$G$20)/$F$11/100)^0.5</f>
        <v>440.95855184409851</v>
      </c>
      <c r="M32" s="21">
        <f>+(($F$19*$G$19+$F$20*$G$20+$F$21*$G$21)/IF($G$19+$G$20+$G$21,$G$19+$G$20+$G$21,1)/$F$15)*($F$13*SUM($G$19:$G$21)/$F$11/100)^0.5</f>
        <v>440.95855184409851</v>
      </c>
      <c r="N32" s="21">
        <f>+(($F$19*$G$19+$F$20*$G$20+$F$21*$G$21+$F$22*$G$22)/IF(SUM($G$19:$G$22),SUM($G$19:$G$22),1)/$F$15)*($F$13*SUM($G$19:$G$22)/$F$11/100)^0.5</f>
        <v>440.95855184409851</v>
      </c>
      <c r="O32" s="22"/>
      <c r="P32" s="22"/>
      <c r="Q32" s="22"/>
      <c r="R32" s="22"/>
    </row>
    <row r="33" spans="1:18" ht="15.75" x14ac:dyDescent="0.25">
      <c r="J33" s="19">
        <v>20</v>
      </c>
      <c r="K33" s="21"/>
      <c r="L33" s="21">
        <f>+($F$20/$F$15)*($F$13*$G$20/$F$11/100)^0.5</f>
        <v>311.80478223116182</v>
      </c>
      <c r="M33" s="21">
        <f>+(($F$20*$G$20+$F$21*$G$21)/IF($G$20+$G$21,$G$20+$G$21,1)/$F$15)*($F$13*SUM($G$20:$G$21)/$F$11/100)^0.5</f>
        <v>311.80478223116182</v>
      </c>
      <c r="N33" s="21">
        <f>+(($F$20*$G$20+$F$21*$G$21+$F$22*$G$22)/IF(SUM($G$20:$G$22),SUM($G$20:$G$22),1)/$F$15)*($F$13*SUM($G$20:$G$22)/$F$11/100)^0.5</f>
        <v>311.80478223116182</v>
      </c>
      <c r="O33" s="22"/>
      <c r="P33" s="22"/>
      <c r="Q33" s="22"/>
      <c r="R33" s="22"/>
    </row>
    <row r="34" spans="1:18" ht="15.75" x14ac:dyDescent="0.25">
      <c r="J34" s="19">
        <v>21</v>
      </c>
      <c r="K34" s="21">
        <f>+(($F$19*$G$19+$F$21*$G21)/IF($G$19+$G21,$G$19+$G21,1)/$F$15)*($F$13*SUM($G$19,$G21)/$F$11/100)^0.5</f>
        <v>311.80478223116182</v>
      </c>
      <c r="L34" s="21"/>
      <c r="M34" s="21">
        <f>+($F$21/$F$15)*(($F$13*$G$21)/$F$11/100)^0.5</f>
        <v>0</v>
      </c>
      <c r="N34" s="21">
        <f>+(($F$21*$G$21+$F$22*$G$22)/IF($G$21+$G$22,$G$21+$G$22,1)/$F$15)*($F$13*SUM($G$21:$G$22)/$F$11/100)^0.5</f>
        <v>0</v>
      </c>
      <c r="O34" s="22"/>
      <c r="P34" s="22"/>
      <c r="Q34" s="22"/>
      <c r="R34" s="22"/>
    </row>
    <row r="35" spans="1:18" ht="15.75" x14ac:dyDescent="0.25">
      <c r="A35" s="92" t="s">
        <v>119</v>
      </c>
      <c r="B35" s="92"/>
      <c r="C35" s="92"/>
      <c r="D35" s="92"/>
      <c r="E35" s="92"/>
      <c r="F35" s="93">
        <f>+IF(F36&lt;J37,F36,J37)</f>
        <v>15.463670357033628</v>
      </c>
      <c r="H35" s="3" t="s">
        <v>120</v>
      </c>
      <c r="I35" s="116"/>
      <c r="J35" s="19">
        <v>22</v>
      </c>
      <c r="K35" s="21">
        <f>+(($F$19*$G$19+$F$22*$G$22)/IF($G$19+$G$22,$G$19+$G$22,1)/$F$15)*($F$13*SUM($G$19,$G$22)/$F$11/100)^0.5</f>
        <v>311.80478223116182</v>
      </c>
      <c r="L35" s="21">
        <f>+(($F$20*$G$20+$F$22*$G$22)/IF($G$20+$G$22,$G$20+$G$22,1)/$F$15)*($F$13*SUM($G$20,$G$22)/$F$11/100)^0.5</f>
        <v>311.80478223116182</v>
      </c>
      <c r="M35" s="21">
        <f>+(($F$19*$G$19+$F$21*$G$21+$F$22*$G$22)/IF($G$19+$G$21+$G$22,$G$19+$G$21+$G$22,1)/$F$15)*($F$13*SUM($G$19,$G$21:$G$22)/$F$11/100)^0.5</f>
        <v>311.80478223116182</v>
      </c>
      <c r="N35" s="21">
        <f>+($F$22/$F$15)*($F$13*$G$22/$F$11/100)^0.5</f>
        <v>0</v>
      </c>
      <c r="O35" s="22"/>
      <c r="P35" s="22"/>
      <c r="Q35" s="22"/>
      <c r="R35" s="22"/>
    </row>
    <row r="36" spans="1:18" ht="15.75" x14ac:dyDescent="0.25">
      <c r="A36" s="92" t="s">
        <v>121</v>
      </c>
      <c r="B36" s="11"/>
      <c r="C36" s="11"/>
      <c r="D36" s="11"/>
      <c r="E36" s="11"/>
      <c r="F36" s="93">
        <f>+F13*(F13*93.6+(1-F13)*62.4)</f>
        <v>25.661999999999995</v>
      </c>
      <c r="H36" s="3" t="s">
        <v>122</v>
      </c>
      <c r="I36" s="116"/>
      <c r="J36" s="19" t="s">
        <v>72</v>
      </c>
      <c r="K36" s="22"/>
      <c r="L36" s="22"/>
      <c r="M36" s="22"/>
      <c r="N36" s="22"/>
      <c r="O36" s="22"/>
      <c r="P36" s="22"/>
      <c r="Q36" s="22"/>
      <c r="R36" s="22"/>
    </row>
    <row r="37" spans="1:18" x14ac:dyDescent="0.2">
      <c r="A37" s="119" t="str">
        <f>+IF(F35=F36,"Densidad de materia seca estimada controlada per la maxima densidad alcanzable","")</f>
        <v/>
      </c>
      <c r="J37" s="56">
        <f>(+F28*0.0155 + 8.5)*(0.818+0.0136*F24)</f>
        <v>15.463670357033628</v>
      </c>
      <c r="K37" s="22"/>
      <c r="L37" s="22"/>
      <c r="M37" s="22"/>
      <c r="N37" s="22"/>
      <c r="O37" s="22"/>
      <c r="P37" s="22"/>
      <c r="Q37" s="22"/>
      <c r="R37" s="22"/>
    </row>
    <row r="40" spans="1:18" ht="15.75" x14ac:dyDescent="0.25">
      <c r="A40" s="82"/>
      <c r="B40" s="82"/>
      <c r="C40" s="82"/>
    </row>
    <row r="43" spans="1:18" x14ac:dyDescent="0.2">
      <c r="A43" s="10" t="str">
        <f>+IF(F35=F36,"Estimated DM Density controlled by Maximum Achievable Density","")</f>
        <v/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75" workbookViewId="0">
      <selection activeCell="G11" sqref="G11"/>
    </sheetView>
  </sheetViews>
  <sheetFormatPr defaultRowHeight="15" x14ac:dyDescent="0.3"/>
  <cols>
    <col min="1" max="1" width="14.7109375" style="23" customWidth="1"/>
    <col min="2" max="2" width="98.85546875" style="23" customWidth="1"/>
    <col min="3" max="3" width="10.5703125" style="25" customWidth="1"/>
    <col min="4" max="4" width="13.140625" style="23" customWidth="1"/>
    <col min="5" max="6" width="10.7109375" style="23" customWidth="1"/>
    <col min="7" max="8" width="9.85546875" style="23" bestFit="1" customWidth="1"/>
    <col min="9" max="9" width="10.7109375" style="23" customWidth="1"/>
    <col min="10" max="10" width="12.5703125" style="41" customWidth="1"/>
    <col min="11" max="16384" width="9.140625" style="23"/>
  </cols>
  <sheetData>
    <row r="1" spans="1:10" ht="18.75" x14ac:dyDescent="0.3">
      <c r="A1" s="122" t="s">
        <v>61</v>
      </c>
      <c r="B1" s="122"/>
      <c r="C1" s="122"/>
      <c r="D1" s="122"/>
      <c r="E1" s="122"/>
      <c r="F1" s="122"/>
      <c r="G1" s="122"/>
      <c r="H1" s="122"/>
    </row>
    <row r="2" spans="1:10" ht="19.5" x14ac:dyDescent="0.35">
      <c r="A2" s="123" t="s">
        <v>62</v>
      </c>
      <c r="B2" s="124"/>
      <c r="C2" s="124"/>
      <c r="D2" s="124"/>
      <c r="E2" s="124"/>
      <c r="F2" s="124"/>
      <c r="G2" s="124"/>
      <c r="H2" s="124"/>
    </row>
    <row r="3" spans="1:10" ht="19.5" x14ac:dyDescent="0.35">
      <c r="A3" s="123" t="s">
        <v>65</v>
      </c>
      <c r="B3" s="124"/>
      <c r="C3" s="124"/>
      <c r="D3" s="124"/>
      <c r="E3" s="124"/>
      <c r="F3" s="124"/>
      <c r="G3" s="124"/>
      <c r="H3" s="124"/>
    </row>
    <row r="4" spans="1:10" ht="18" x14ac:dyDescent="0.35">
      <c r="A4" s="124" t="s">
        <v>90</v>
      </c>
      <c r="B4" s="124"/>
      <c r="C4" s="124"/>
      <c r="D4" s="124"/>
      <c r="E4" s="124"/>
      <c r="F4" s="124"/>
      <c r="G4" s="124"/>
      <c r="H4" s="124"/>
    </row>
    <row r="5" spans="1:10" ht="15.75" thickBot="1" x14ac:dyDescent="0.35">
      <c r="B5" s="24"/>
    </row>
    <row r="6" spans="1:10" ht="15.75" thickBot="1" x14ac:dyDescent="0.35">
      <c r="B6" s="24"/>
      <c r="C6" s="120" t="s">
        <v>41</v>
      </c>
      <c r="D6" s="121"/>
    </row>
    <row r="7" spans="1:10" ht="17.25" thickBot="1" x14ac:dyDescent="0.35">
      <c r="A7" s="79" t="s">
        <v>42</v>
      </c>
      <c r="B7" s="5" t="s">
        <v>43</v>
      </c>
      <c r="C7" s="62">
        <v>3.66</v>
      </c>
      <c r="D7" s="23" t="s">
        <v>44</v>
      </c>
    </row>
    <row r="8" spans="1:10" ht="16.5" x14ac:dyDescent="0.3">
      <c r="B8" s="5" t="s">
        <v>45</v>
      </c>
      <c r="C8" s="63">
        <v>4.88</v>
      </c>
    </row>
    <row r="9" spans="1:10" ht="16.5" x14ac:dyDescent="0.3">
      <c r="B9" s="5" t="s">
        <v>46</v>
      </c>
      <c r="C9" s="64">
        <v>145.1</v>
      </c>
      <c r="D9" s="23" t="s">
        <v>47</v>
      </c>
    </row>
    <row r="10" spans="1:10" ht="16.5" x14ac:dyDescent="0.3">
      <c r="B10" s="5" t="s">
        <v>48</v>
      </c>
      <c r="C10" s="65">
        <v>0.35</v>
      </c>
      <c r="D10" s="23" t="s">
        <v>49</v>
      </c>
      <c r="G10" s="38" t="str">
        <f>IF(C10&gt;1,"Celda C9 debe ser menor a 1"," ")</f>
        <v xml:space="preserve"> </v>
      </c>
    </row>
    <row r="11" spans="1:10" ht="21" thickBot="1" x14ac:dyDescent="0.35">
      <c r="B11" s="5" t="s">
        <v>50</v>
      </c>
      <c r="C11" s="66">
        <v>15.24</v>
      </c>
      <c r="D11" s="23" t="s">
        <v>51</v>
      </c>
      <c r="G11" s="44" t="str">
        <f>IF(C11&gt;60,"Considere una capa mas delgada", " ")</f>
        <v xml:space="preserve"> </v>
      </c>
      <c r="H11" s="42">
        <f>+C8</f>
        <v>4.88</v>
      </c>
      <c r="I11" s="41"/>
      <c r="J11" s="43">
        <f>+C7</f>
        <v>3.66</v>
      </c>
    </row>
    <row r="12" spans="1:10" ht="30.75" thickBot="1" x14ac:dyDescent="0.35">
      <c r="A12" s="79" t="s">
        <v>52</v>
      </c>
      <c r="B12" s="5" t="s">
        <v>89</v>
      </c>
      <c r="C12" s="67" t="s">
        <v>53</v>
      </c>
      <c r="D12" s="26" t="s">
        <v>54</v>
      </c>
    </row>
    <row r="13" spans="1:10" ht="18" x14ac:dyDescent="0.35">
      <c r="B13" s="5" t="s">
        <v>2</v>
      </c>
      <c r="C13" s="68">
        <v>18144</v>
      </c>
      <c r="D13" s="76">
        <v>100</v>
      </c>
      <c r="E13" s="27">
        <f>IF(C13&gt;0,D13,0)</f>
        <v>100</v>
      </c>
      <c r="G13" s="35" t="str">
        <f>IF(AND(C13&gt;0,D13&lt;1), "Error en celda C13 ó D13", IF(AND(C13&lt;1,D13&gt;0),"Error en celda C13 ó D13"," "))</f>
        <v xml:space="preserve"> </v>
      </c>
    </row>
    <row r="14" spans="1:10" ht="18" x14ac:dyDescent="0.35">
      <c r="B14" s="5" t="s">
        <v>3</v>
      </c>
      <c r="C14" s="69">
        <v>18144</v>
      </c>
      <c r="D14" s="77">
        <v>100</v>
      </c>
      <c r="E14" s="27">
        <f>IF(C14&gt;0,D14,0)</f>
        <v>100</v>
      </c>
      <c r="G14" s="35" t="str">
        <f>IF(AND(C14&gt;0,D14&lt;1), "Error en celda C14 ó D14", IF(AND(C14&lt;1,D14&gt;0),"Error en celda C14 ó D14"," "))</f>
        <v xml:space="preserve"> </v>
      </c>
      <c r="H14" s="28"/>
    </row>
    <row r="15" spans="1:10" ht="18" x14ac:dyDescent="0.35">
      <c r="B15" s="5" t="s">
        <v>4</v>
      </c>
      <c r="C15" s="69">
        <v>0</v>
      </c>
      <c r="D15" s="77">
        <v>0</v>
      </c>
      <c r="E15" s="27">
        <f>IF(C15&gt;0,D15,0)</f>
        <v>0</v>
      </c>
      <c r="G15" s="35" t="str">
        <f>IF(AND(C15&gt;0,D15&lt;1), "Error en celda C15 ó D15", IF(AND(C15&lt;1,D15&gt;0),"Error en celda C15 ó D15"," "))</f>
        <v xml:space="preserve"> </v>
      </c>
      <c r="H15" s="28"/>
    </row>
    <row r="16" spans="1:10" ht="18.75" thickBot="1" x14ac:dyDescent="0.4">
      <c r="B16" s="5" t="s">
        <v>5</v>
      </c>
      <c r="C16" s="70">
        <v>0</v>
      </c>
      <c r="D16" s="78">
        <v>0</v>
      </c>
      <c r="E16" s="27">
        <f>IF(C16&gt;0,D16,0)</f>
        <v>0</v>
      </c>
      <c r="G16" s="35" t="str">
        <f>IF(AND(C16&gt;0,D16&lt;1), "Error en celda C16 ó D16", IF(AND(C16&lt;1,D16&gt;0),"Error en celda C16 ó D16"," "))</f>
        <v xml:space="preserve"> </v>
      </c>
      <c r="H16" s="28"/>
    </row>
    <row r="17" spans="1:14" ht="17.25" thickBot="1" x14ac:dyDescent="0.35">
      <c r="B17" s="5"/>
      <c r="C17" s="71"/>
      <c r="D17" s="29"/>
      <c r="E17" s="30"/>
      <c r="F17" s="30"/>
      <c r="H17" s="28"/>
    </row>
    <row r="18" spans="1:14" ht="16.5" x14ac:dyDescent="0.3">
      <c r="A18" s="31" t="s">
        <v>55</v>
      </c>
      <c r="B18" s="5" t="s">
        <v>56</v>
      </c>
      <c r="C18" s="72">
        <f>+C13*D13/100+C14*D14/100+C15*D15/100+C16*D16/100</f>
        <v>36288</v>
      </c>
      <c r="H18" s="28"/>
    </row>
    <row r="19" spans="1:14" ht="17.25" thickBot="1" x14ac:dyDescent="0.35">
      <c r="A19" s="32" t="s">
        <v>57</v>
      </c>
      <c r="B19" s="5" t="s">
        <v>58</v>
      </c>
      <c r="C19" s="73">
        <f>+(+C7+C8)/2</f>
        <v>4.2699999999999996</v>
      </c>
      <c r="H19" s="28"/>
    </row>
    <row r="20" spans="1:14" ht="17.25" thickBot="1" x14ac:dyDescent="0.35">
      <c r="B20" s="28"/>
      <c r="C20" s="74"/>
    </row>
    <row r="21" spans="1:14" ht="17.25" thickBot="1" x14ac:dyDescent="0.35">
      <c r="A21" s="34" t="s">
        <v>59</v>
      </c>
      <c r="B21" s="5" t="s">
        <v>60</v>
      </c>
      <c r="C21" s="75">
        <f>+MAX(K26:N29)</f>
        <v>2614.9499685899414</v>
      </c>
    </row>
    <row r="22" spans="1:14" ht="19.5" x14ac:dyDescent="0.3">
      <c r="B22" s="9" t="s">
        <v>91</v>
      </c>
      <c r="C22" s="37">
        <f>C30/C10</f>
        <v>709.15917257554474</v>
      </c>
      <c r="D22" s="35" t="s">
        <v>85</v>
      </c>
      <c r="E22" s="35"/>
      <c r="F22" s="35"/>
      <c r="G22" s="35"/>
      <c r="H22" s="35"/>
      <c r="I22" s="35"/>
    </row>
    <row r="23" spans="1:14" ht="16.5" x14ac:dyDescent="0.3">
      <c r="B23" s="9" t="s">
        <v>92</v>
      </c>
      <c r="C23" s="37">
        <f>C10*1499.47 +(1-C10)*999.65</f>
        <v>1174.587</v>
      </c>
      <c r="D23" s="35" t="s">
        <v>86</v>
      </c>
      <c r="E23" s="35"/>
      <c r="F23" s="35"/>
      <c r="G23" s="35"/>
      <c r="H23" s="35"/>
      <c r="I23" s="35"/>
    </row>
    <row r="24" spans="1:14" x14ac:dyDescent="0.3">
      <c r="B24"/>
      <c r="C24"/>
      <c r="D24"/>
      <c r="E24"/>
      <c r="F24"/>
      <c r="G24"/>
      <c r="H24"/>
    </row>
    <row r="25" spans="1:14" ht="16.5" x14ac:dyDescent="0.3">
      <c r="A25"/>
      <c r="B25" s="9" t="s">
        <v>93</v>
      </c>
      <c r="C25" s="51">
        <f>1-(C22/C23)</f>
        <v>0.39624806627730025</v>
      </c>
      <c r="D25" s="61" t="s">
        <v>84</v>
      </c>
      <c r="E25" s="59"/>
      <c r="F25" s="35"/>
      <c r="G25" s="35"/>
      <c r="H25"/>
    </row>
    <row r="26" spans="1:14" x14ac:dyDescent="0.3">
      <c r="A26"/>
      <c r="B26"/>
      <c r="C26" s="33"/>
      <c r="J26" s="36">
        <v>19</v>
      </c>
      <c r="K26" s="36">
        <f>+($C$13/$C$11)*($C$10*10*$E$13/$C$9)^0.5</f>
        <v>1849.0488552534971</v>
      </c>
      <c r="L26" s="36">
        <f>+(($C$13*$E$13+$C$14*$E$14)/IF($E$13+$E$14,$E$13+$E$14,1)/$C$11)*($C$10*10*SUM($E$13:$E$14)/$C$9)^0.5</f>
        <v>2614.9499685899414</v>
      </c>
      <c r="M26" s="36">
        <f>+(($C$13*$E$13+$C$14*$E$14+$C$15*$E$15)/IF($E$13+$E$14+$E$15,$E$13+$E$14+$E$15,1)/$C$11)*($C$10*10*SUM($E$13:$E$15)/$C$9)^0.5</f>
        <v>2614.9499685899414</v>
      </c>
      <c r="N26" s="36">
        <f>+(($C$13*$E$13+$C$14*$E$14+$C$15*$E$15+$C$16*$E$16)/IF(SUM($E$13:$E$16),SUM($E$13:$E$16),1)/$C$11)*($C$10*10*SUM($E$13:$E$16)/$C$9)^0.5</f>
        <v>2614.9499685899414</v>
      </c>
    </row>
    <row r="27" spans="1:14" x14ac:dyDescent="0.3">
      <c r="A27"/>
      <c r="B27"/>
      <c r="C27" s="33"/>
      <c r="J27" s="36">
        <v>20</v>
      </c>
      <c r="K27" s="36"/>
      <c r="L27" s="36">
        <f>+($C$14/$C$11)*($C$10*10*$E$14/$C$9)^0.5</f>
        <v>1849.0488552534971</v>
      </c>
      <c r="M27" s="36">
        <f>+(($C$14*$E$14+$C$15*$E$15)/IF($E$14+$E$15,$E$14+$E$15,1)/$C$11)*($C$10*10*SUM($E$14:$E$15)/$C$9)^0.5</f>
        <v>1849.0488552534971</v>
      </c>
      <c r="N27" s="36">
        <f>+(($C$14*$E$14+$C$15*$E$15+$C$16*$E$16)/IF(SUM($E$14:$E$16),SUM($E$14:$E$16),1)/$C$11)*($C$10*10*SUM($E$14:$E$16)/$C$9)^0.5</f>
        <v>1849.0488552534971</v>
      </c>
    </row>
    <row r="28" spans="1:14" x14ac:dyDescent="0.3">
      <c r="C28" s="33"/>
      <c r="J28" s="36">
        <v>21</v>
      </c>
      <c r="K28" s="36">
        <f>+(($C$13*$E$13+$C$15*$E15)/IF($E$13+$E15,$E$13+$E15,1)/$C$11)*($C$10*10*SUM($E$13,$E15)/$C$9)^0.5</f>
        <v>1849.0488552534971</v>
      </c>
      <c r="L28" s="36"/>
      <c r="M28" s="36">
        <f>+($C$15/$C$11)*(($C$10*10*$E$15)/$C$9)^0.5</f>
        <v>0</v>
      </c>
      <c r="N28" s="36">
        <f>+(($C$15*$E$15+$C$16*$E$16)/IF($E$15+$E$16,$E$15+$E$16,1)/$C$11)*($C$10*10*SUM($E$15:$E$16)/$C$9)^0.5</f>
        <v>0</v>
      </c>
    </row>
    <row r="29" spans="1:14" x14ac:dyDescent="0.3">
      <c r="J29" s="36">
        <v>22</v>
      </c>
      <c r="K29" s="36">
        <f>+(($C$13*$E$13+$C$16*$E$16)/IF($E$13+$E$16,$E$13+$E$16,1)/$C$11)*($C$10*10*SUM($E$13,$E$16)/$C$9)^0.5</f>
        <v>1849.0488552534971</v>
      </c>
      <c r="L29" s="36">
        <f>+(($C$14*$E$14+$C$16*$E$16)/IF($E$14+$E$16,$E$14+$E$16,1)/$C$11)*($C$10*10*SUM($E$14,$E$16)/$C$9)^0.5</f>
        <v>1849.0488552534971</v>
      </c>
      <c r="M29" s="36">
        <f>+(($C$13*$E$13+$C$15*$E$15+$C$16*$E$16)/IF($E$13+$E$15+$E$16,$E$13+$E$15+$E$16,1)/$C$11)*($C$10*10*SUM($E$13,$E$15:$E$16)/$C$9)^0.5</f>
        <v>1849.0488552534971</v>
      </c>
      <c r="N29" s="36">
        <f>+($C$16/$C$11)*($C$10*10*$E$16/$C$9)^0.5</f>
        <v>0</v>
      </c>
    </row>
    <row r="30" spans="1:14" ht="20.25" x14ac:dyDescent="0.35">
      <c r="B30" s="60" t="s">
        <v>87</v>
      </c>
      <c r="C30" s="81">
        <f>+IF(C31&lt;J37,C31,J37)</f>
        <v>248.20571040144063</v>
      </c>
      <c r="D30" s="35" t="s">
        <v>82</v>
      </c>
    </row>
    <row r="31" spans="1:14" ht="19.5" x14ac:dyDescent="0.3">
      <c r="B31" s="60" t="s">
        <v>88</v>
      </c>
      <c r="C31" s="80">
        <f>C10*(C10*1500 + (1-C10)*1000)</f>
        <v>411.25</v>
      </c>
      <c r="D31" s="35" t="s">
        <v>83</v>
      </c>
    </row>
    <row r="32" spans="1:14" x14ac:dyDescent="0.3">
      <c r="B32" s="10" t="str">
        <f>+IF(B30=B31,"Densidad de materia seca estimada controlada per la maxima densidad alcanzable","")</f>
        <v/>
      </c>
    </row>
    <row r="37" spans="10:10" x14ac:dyDescent="0.3">
      <c r="J37" s="36">
        <f>(C21*0.042+136.3)*(0.818+0.0446*C19)</f>
        <v>248.20571040144063</v>
      </c>
    </row>
  </sheetData>
  <mergeCells count="5">
    <mergeCell ref="C6:D6"/>
    <mergeCell ref="A1:H1"/>
    <mergeCell ref="A2:H2"/>
    <mergeCell ref="A3:H3"/>
    <mergeCell ref="A4:H4"/>
  </mergeCells>
  <phoneticPr fontId="0" type="noConversion"/>
  <pageMargins left="0.75" right="0.75" top="1" bottom="1" header="0.5" footer="0.5"/>
  <pageSetup orientation="portrait" horizontalDpi="204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topLeftCell="A20" zoomScale="75" zoomScaleNormal="75" workbookViewId="0">
      <selection activeCell="A37" sqref="A37"/>
    </sheetView>
  </sheetViews>
  <sheetFormatPr defaultRowHeight="12.75" x14ac:dyDescent="0.2"/>
  <cols>
    <col min="4" max="4" width="20" customWidth="1"/>
    <col min="5" max="5" width="37" customWidth="1"/>
    <col min="8" max="8" width="60.140625" customWidth="1"/>
    <col min="9" max="9" width="22.28515625" customWidth="1"/>
  </cols>
  <sheetData>
    <row r="1" spans="1:11" ht="15.75" x14ac:dyDescent="0.25">
      <c r="H1" s="4" t="s">
        <v>123</v>
      </c>
    </row>
    <row r="2" spans="1:11" ht="15.75" x14ac:dyDescent="0.25">
      <c r="H2" s="4" t="s">
        <v>124</v>
      </c>
    </row>
    <row r="3" spans="1:11" x14ac:dyDescent="0.2">
      <c r="H3" s="1" t="s">
        <v>125</v>
      </c>
    </row>
    <row r="4" spans="1:11" x14ac:dyDescent="0.2">
      <c r="H4" s="1" t="s">
        <v>126</v>
      </c>
    </row>
    <row r="5" spans="1:11" x14ac:dyDescent="0.2">
      <c r="H5" s="1" t="s">
        <v>127</v>
      </c>
    </row>
    <row r="6" spans="1:11" x14ac:dyDescent="0.2">
      <c r="H6" s="1" t="s">
        <v>128</v>
      </c>
    </row>
    <row r="7" spans="1:11" ht="15.75" x14ac:dyDescent="0.25">
      <c r="A7" s="5" t="s">
        <v>129</v>
      </c>
      <c r="B7" s="5"/>
      <c r="C7" s="5"/>
      <c r="D7" s="5"/>
      <c r="E7" s="5"/>
      <c r="F7" s="47">
        <v>3.66</v>
      </c>
      <c r="H7" s="2">
        <v>39317</v>
      </c>
    </row>
    <row r="8" spans="1:11" ht="15.75" x14ac:dyDescent="0.25">
      <c r="A8" s="5"/>
      <c r="B8" s="5"/>
      <c r="C8" s="5"/>
      <c r="D8" s="5"/>
      <c r="E8" s="5"/>
      <c r="F8" s="5"/>
    </row>
    <row r="9" spans="1:11" ht="15.75" x14ac:dyDescent="0.25">
      <c r="A9" s="5" t="s">
        <v>130</v>
      </c>
      <c r="B9" s="5"/>
      <c r="C9" s="5"/>
      <c r="D9" s="5"/>
      <c r="E9" s="5"/>
      <c r="F9" s="47">
        <v>4.88</v>
      </c>
      <c r="H9" s="96" t="s">
        <v>131</v>
      </c>
    </row>
    <row r="10" spans="1:11" ht="15.75" x14ac:dyDescent="0.25">
      <c r="A10" s="5"/>
      <c r="B10" s="5"/>
      <c r="C10" s="5"/>
      <c r="D10" s="5"/>
      <c r="E10" s="5"/>
      <c r="F10" s="5"/>
    </row>
    <row r="11" spans="1:11" ht="15.75" x14ac:dyDescent="0.25">
      <c r="A11" s="5" t="s">
        <v>132</v>
      </c>
      <c r="B11" s="5"/>
      <c r="C11" s="5"/>
      <c r="D11" s="5"/>
      <c r="E11" s="5"/>
      <c r="F11" s="47">
        <v>145.1</v>
      </c>
      <c r="H11" s="96" t="s">
        <v>133</v>
      </c>
    </row>
    <row r="12" spans="1:11" ht="20.25" x14ac:dyDescent="0.3">
      <c r="A12" s="5"/>
      <c r="B12" s="5"/>
      <c r="C12" s="5"/>
      <c r="D12" s="5"/>
      <c r="E12" s="5"/>
      <c r="F12" s="5"/>
      <c r="J12" s="40">
        <f>+F9</f>
        <v>4.88</v>
      </c>
    </row>
    <row r="13" spans="1:11" ht="15.75" x14ac:dyDescent="0.25">
      <c r="A13" s="5" t="s">
        <v>134</v>
      </c>
      <c r="B13" s="5"/>
      <c r="C13" s="5"/>
      <c r="D13" s="5"/>
      <c r="E13" s="5"/>
      <c r="F13" s="47">
        <v>0.35</v>
      </c>
      <c r="H13" s="13" t="s">
        <v>135</v>
      </c>
    </row>
    <row r="14" spans="1:11" ht="20.25" x14ac:dyDescent="0.3">
      <c r="B14" s="5"/>
      <c r="C14" s="5"/>
      <c r="D14" s="5"/>
      <c r="E14" s="5"/>
      <c r="F14" s="14" t="str">
        <f>+IF(F13&gt;1,"Ячейка F13 должна быть меньше 1"," ")</f>
        <v xml:space="preserve"> </v>
      </c>
      <c r="K14" s="40">
        <f>+F7</f>
        <v>3.66</v>
      </c>
    </row>
    <row r="15" spans="1:11" ht="15.75" x14ac:dyDescent="0.25">
      <c r="A15" s="5" t="s">
        <v>136</v>
      </c>
      <c r="B15" s="5"/>
      <c r="C15" s="5"/>
      <c r="D15" s="5"/>
      <c r="E15" s="5"/>
      <c r="F15" s="47">
        <v>15.24</v>
      </c>
      <c r="H15" s="96" t="s">
        <v>137</v>
      </c>
    </row>
    <row r="16" spans="1:11" ht="15.75" x14ac:dyDescent="0.25">
      <c r="A16" s="5"/>
      <c r="B16" s="5"/>
      <c r="C16" s="5"/>
      <c r="D16" s="5"/>
      <c r="E16" s="5"/>
      <c r="F16" s="14" t="str">
        <f>+IF(F15&gt;60,"Рассмотрим более тонкий слой в ячейке F15", " ")</f>
        <v xml:space="preserve"> </v>
      </c>
    </row>
    <row r="17" spans="1:14" ht="15.75" x14ac:dyDescent="0.25">
      <c r="A17" s="5" t="s">
        <v>138</v>
      </c>
      <c r="B17" s="5"/>
      <c r="C17" s="5"/>
      <c r="D17" s="5"/>
      <c r="E17" s="5" t="s">
        <v>206</v>
      </c>
      <c r="F17" s="5"/>
      <c r="H17" s="5" t="s">
        <v>139</v>
      </c>
    </row>
    <row r="18" spans="1:14" ht="15.75" x14ac:dyDescent="0.25">
      <c r="A18" s="6" t="s">
        <v>160</v>
      </c>
      <c r="B18" s="5"/>
      <c r="C18" s="5"/>
      <c r="D18" s="5"/>
      <c r="E18" s="5"/>
      <c r="F18" s="5"/>
      <c r="H18" s="5"/>
      <c r="K18" s="18"/>
      <c r="L18" s="18"/>
    </row>
    <row r="19" spans="1:14" ht="15.75" x14ac:dyDescent="0.25">
      <c r="A19" s="5" t="s">
        <v>140</v>
      </c>
      <c r="B19" s="5"/>
      <c r="C19" s="15" t="s">
        <v>141</v>
      </c>
      <c r="D19" s="5"/>
      <c r="E19" s="5"/>
      <c r="F19" s="48">
        <v>18144</v>
      </c>
      <c r="G19" s="19">
        <f>IF(F19&gt;0,H19,0)</f>
        <v>100</v>
      </c>
      <c r="H19" s="50">
        <v>100</v>
      </c>
      <c r="I19" s="14" t="str">
        <f>IF(AND(F19&gt;0,H19&lt;1), "Ошибка в ячейке F19 или H19", IF(AND(F19&lt;1,H19&gt;0),"Ошибка в ячейке F19 или H19"," "))</f>
        <v xml:space="preserve"> </v>
      </c>
      <c r="J19" s="17"/>
      <c r="K19" s="17"/>
      <c r="L19" s="17"/>
    </row>
    <row r="20" spans="1:14" ht="15.75" x14ac:dyDescent="0.25">
      <c r="A20" s="5" t="s">
        <v>142</v>
      </c>
      <c r="B20" s="5"/>
      <c r="C20" s="15" t="s">
        <v>141</v>
      </c>
      <c r="D20" s="5"/>
      <c r="E20" s="5"/>
      <c r="F20" s="47">
        <v>18144</v>
      </c>
      <c r="G20" s="19">
        <f>IF(F20&gt;0,H20,0)</f>
        <v>100</v>
      </c>
      <c r="H20" s="50">
        <v>100</v>
      </c>
      <c r="I20" s="14" t="str">
        <f>IF(AND(F20&gt;0,H20&lt;1), "Ошибка в ячейке F20 или H20", IF(AND(F20&lt;1,H20&gt;0),"Ошибка в ячейке F20 или H20"," "))</f>
        <v xml:space="preserve"> </v>
      </c>
      <c r="J20" s="17"/>
      <c r="K20" s="17"/>
      <c r="L20" s="17"/>
      <c r="M20" s="18"/>
    </row>
    <row r="21" spans="1:14" ht="15.75" x14ac:dyDescent="0.25">
      <c r="A21" s="5" t="s">
        <v>143</v>
      </c>
      <c r="B21" s="5"/>
      <c r="C21" s="15" t="s">
        <v>141</v>
      </c>
      <c r="D21" s="5"/>
      <c r="E21" s="5"/>
      <c r="F21" s="49">
        <v>0</v>
      </c>
      <c r="G21" s="19">
        <f>IF(F21&gt;0,H21,0)</f>
        <v>0</v>
      </c>
      <c r="H21" s="50">
        <v>0</v>
      </c>
      <c r="I21" s="14" t="str">
        <f>IF(AND(F21&gt;0,H21&lt;1), "Ошибка в ячейке F21 или H21", IF(AND(F21&lt;1,H21&gt;0),"Ошибка в ячейке F21 или H21"," "))</f>
        <v xml:space="preserve"> </v>
      </c>
      <c r="J21" s="17"/>
      <c r="K21" s="17"/>
      <c r="L21" s="17"/>
      <c r="M21" s="18"/>
    </row>
    <row r="22" spans="1:14" ht="15.75" x14ac:dyDescent="0.25">
      <c r="A22" s="5" t="s">
        <v>144</v>
      </c>
      <c r="B22" s="5"/>
      <c r="C22" s="15" t="s">
        <v>141</v>
      </c>
      <c r="D22" s="5"/>
      <c r="E22" s="5"/>
      <c r="F22" s="47">
        <v>0</v>
      </c>
      <c r="G22" s="19">
        <f>IF(F22&gt;0,H22,0)</f>
        <v>0</v>
      </c>
      <c r="H22" s="50">
        <v>0</v>
      </c>
      <c r="I22" s="14" t="str">
        <f>IF(AND(F22&gt;0,H22&lt;1), "Ошибка в ячейке F22 или H22", IF(AND(F22&lt;1,H22&gt;0),"Ошибка в ячейке F22 или H22"," "))</f>
        <v xml:space="preserve"> </v>
      </c>
      <c r="J22" s="17"/>
      <c r="K22" s="17"/>
      <c r="M22" s="18"/>
    </row>
    <row r="23" spans="1:14" ht="15.75" x14ac:dyDescent="0.25">
      <c r="A23" s="5" t="s">
        <v>145</v>
      </c>
      <c r="C23" s="5"/>
      <c r="D23" s="5"/>
      <c r="E23" s="5"/>
      <c r="F23" s="7">
        <f>+F19*H19/100 +F20*H20/100+F21*H21/100+F22*H22/100</f>
        <v>36288</v>
      </c>
      <c r="K23" s="17"/>
      <c r="M23" s="18"/>
    </row>
    <row r="24" spans="1:14" ht="15.75" x14ac:dyDescent="0.25">
      <c r="A24" s="5" t="s">
        <v>146</v>
      </c>
      <c r="B24" s="5"/>
      <c r="C24" s="5"/>
      <c r="D24" s="5"/>
      <c r="E24" s="5"/>
      <c r="F24" s="8">
        <f>+(+F7+F9)/2</f>
        <v>4.2699999999999996</v>
      </c>
      <c r="H24" s="97" t="s">
        <v>147</v>
      </c>
      <c r="K24" s="17"/>
      <c r="M24" s="18"/>
    </row>
    <row r="25" spans="1:14" ht="15.75" x14ac:dyDescent="0.25">
      <c r="A25" s="5"/>
      <c r="B25" s="5"/>
      <c r="C25" s="5"/>
      <c r="D25" s="5"/>
      <c r="E25" s="5"/>
      <c r="F25" s="46"/>
    </row>
    <row r="27" spans="1:14" ht="15.75" x14ac:dyDescent="0.25">
      <c r="A27" s="6" t="s">
        <v>161</v>
      </c>
      <c r="B27" s="5"/>
      <c r="C27" s="5"/>
      <c r="D27" s="5"/>
      <c r="E27" s="5"/>
      <c r="F27" s="5"/>
    </row>
    <row r="28" spans="1:14" ht="15.75" x14ac:dyDescent="0.25">
      <c r="A28" s="5"/>
      <c r="B28" s="5"/>
      <c r="C28" s="5"/>
      <c r="D28" s="9" t="s">
        <v>148</v>
      </c>
      <c r="E28" s="9"/>
      <c r="F28" s="37">
        <f>+MAX(K32:N35)</f>
        <v>2614.9499685899414</v>
      </c>
      <c r="H28" s="98" t="s">
        <v>149</v>
      </c>
      <c r="K28" s="16"/>
    </row>
    <row r="29" spans="1:14" ht="15.75" x14ac:dyDescent="0.25">
      <c r="A29" s="9" t="s">
        <v>150</v>
      </c>
      <c r="B29" s="11"/>
      <c r="C29" s="11"/>
      <c r="D29" s="11"/>
      <c r="E29" s="11"/>
      <c r="F29" s="37">
        <f>F35/F13</f>
        <v>709.15917257554474</v>
      </c>
      <c r="H29" s="99" t="s">
        <v>151</v>
      </c>
    </row>
    <row r="30" spans="1:14" ht="26.25" customHeight="1" x14ac:dyDescent="0.25">
      <c r="A30" s="9" t="s">
        <v>152</v>
      </c>
      <c r="B30" s="11"/>
      <c r="C30" s="11"/>
      <c r="D30" s="11"/>
      <c r="E30" s="11"/>
      <c r="F30" s="37">
        <f>F13*1499.47 +(1-F13)*999.65</f>
        <v>1174.587</v>
      </c>
      <c r="H30" s="100" t="s">
        <v>153</v>
      </c>
      <c r="I30" s="1"/>
    </row>
    <row r="31" spans="1:14" x14ac:dyDescent="0.2">
      <c r="J31" s="19"/>
      <c r="K31" s="19">
        <v>19</v>
      </c>
      <c r="L31" s="19">
        <v>20</v>
      </c>
      <c r="M31" s="19">
        <v>21</v>
      </c>
      <c r="N31" s="19">
        <v>22</v>
      </c>
    </row>
    <row r="32" spans="1:14" ht="15.75" x14ac:dyDescent="0.25">
      <c r="E32" s="9" t="s">
        <v>154</v>
      </c>
      <c r="F32" s="51">
        <f>1-(F29/F30)</f>
        <v>0.39624806627730025</v>
      </c>
      <c r="H32" s="99" t="s">
        <v>155</v>
      </c>
      <c r="J32" s="19">
        <v>19</v>
      </c>
      <c r="K32" s="21">
        <f>+($F$19/$F$15)*($F$13*10*$G$19/$F$11)^0.5</f>
        <v>1849.0488552534971</v>
      </c>
      <c r="L32" s="21">
        <f>+(($F$19*$G$19+$F$20*$G$20)/IF($G$19+$G$20,$G$19+$G$20,1)/$F$15)*($F$13*10*SUM($G$19:$G$20)/$F$11)^0.5</f>
        <v>2614.9499685899414</v>
      </c>
      <c r="M32" s="21">
        <f>+(($F$19*$G$19+$F$20*$G$20+$F$21*$G$21)/IF($G$19+$G$20+$G$21,$G$19+$G$20+$G$21,1)/$F$15)*($F$13*10*SUM($G$19:$G$21)/$F$11)^0.5</f>
        <v>2614.9499685899414</v>
      </c>
      <c r="N32" s="21">
        <f>+(($F$19*$G$19+$F$20*$G$20+$F$21*$G$21+$F$22*$G$22)/IF(SUM($G$19:$G$22),SUM($G$19:$G$22),1)/$F$15)*($F$13*10*SUM($G$19:$G$22)/$F$11)^0.5</f>
        <v>2614.9499685899414</v>
      </c>
    </row>
    <row r="33" spans="1:14" ht="15.75" x14ac:dyDescent="0.25">
      <c r="J33" s="19">
        <v>20</v>
      </c>
      <c r="K33" s="21"/>
      <c r="L33" s="21">
        <f>+($F$20/$F$15)*($F$13*10*$G$20/$F$11)^0.5</f>
        <v>1849.0488552534971</v>
      </c>
      <c r="M33" s="21">
        <f>+(($F$20*$G$20+$F$21*$G$21)/IF($G$20+$G$21,$G$20+$G$21,1)/$F$15)*($F$13*10*SUM($G$20:$G$21)/$F$11)^0.5</f>
        <v>1849.0488552534971</v>
      </c>
      <c r="N33" s="21">
        <f>+(($F$20*$G$20+$F$21*$G$21+$F$22*$G$22)/IF(SUM($G$20:$G$22),SUM($G$20:$G$22),1)/$F$15)*($F$13*10*SUM($G$20:$G$22)/$F$11)^0.5</f>
        <v>1849.0488552534971</v>
      </c>
    </row>
    <row r="34" spans="1:14" ht="15.75" x14ac:dyDescent="0.25">
      <c r="J34" s="19">
        <v>21</v>
      </c>
      <c r="K34" s="21">
        <f>+(($F$19*$G$19+$F$21*$G21)/IF($G$19+$G21,$G$19+$G21,1)/$F$15)*($F$13*10*SUM($G$19,$G21)/$F$11)^0.5</f>
        <v>1849.0488552534971</v>
      </c>
      <c r="L34" s="21"/>
      <c r="M34" s="21">
        <f>+($F$21/$F$15)*(($F$13*10*$G$21)/$F$11)^0.5</f>
        <v>0</v>
      </c>
      <c r="N34" s="21">
        <f>+(($F$21*$G$21+$F$22*$G$22)/IF($G$21+$G$22,$G$21+$G$22,1)/$F$15)*($F$13*10*SUM($G$21:$G$22)/$F$11)^0.5</f>
        <v>0</v>
      </c>
    </row>
    <row r="35" spans="1:14" ht="15.75" x14ac:dyDescent="0.25">
      <c r="A35" s="9" t="s">
        <v>156</v>
      </c>
      <c r="B35" s="9"/>
      <c r="C35" s="9"/>
      <c r="D35" s="9"/>
      <c r="E35" s="9"/>
      <c r="F35" s="37">
        <f>+IF(F36&lt;J37,F36,J37)</f>
        <v>248.20571040144063</v>
      </c>
      <c r="H35" s="99" t="s">
        <v>157</v>
      </c>
      <c r="J35" s="19">
        <v>22</v>
      </c>
      <c r="K35" s="21">
        <f>+(($F$19*$G$19+$F$22*$G$22)/IF($G$19+$G$22,$G$19+$G$22,1)/$F$15)*($F$13*10*SUM($G$19,$G$22)/$F$11)^0.5</f>
        <v>1849.0488552534971</v>
      </c>
      <c r="L35" s="21">
        <f>+(($F$20*$G$20+$F$22*$G$22)/IF($G$20+$G$22,$G$20+$G$22,1)/$F$15)*($F$13*10*SUM($G$20,$G$22)/$F$11)^0.5</f>
        <v>1849.0488552534971</v>
      </c>
      <c r="M35" s="21">
        <f>+(($F$19*$G$19+$F$21*$G$21+$F$22*$G$22)/IF($G$19+$G$21+$G$22,$G$19+$G$21+$G$22,1)/$F$15)*($F$13*10*SUM($G$19,$G$21:$G$22)/$F$11)^0.5</f>
        <v>1849.0488552534971</v>
      </c>
      <c r="N35" s="21">
        <f>+($F$22/$F$15)*($F$13*10*$G$22/$F$11)^0.5</f>
        <v>0</v>
      </c>
    </row>
    <row r="36" spans="1:14" ht="15.75" x14ac:dyDescent="0.25">
      <c r="A36" s="9" t="s">
        <v>158</v>
      </c>
      <c r="B36" s="11"/>
      <c r="C36" s="11"/>
      <c r="D36" s="11"/>
      <c r="E36" s="11"/>
      <c r="F36" s="37">
        <f>+F13*(F13*1500 + (1-F13)*1000)</f>
        <v>411.25</v>
      </c>
      <c r="H36" s="99" t="s">
        <v>159</v>
      </c>
    </row>
    <row r="37" spans="1:14" ht="15.75" x14ac:dyDescent="0.25">
      <c r="A37" s="10" t="str">
        <f>+IF(F35=F36,"Расчетная плотность сухого вещества контролируется максимально достижимой плотностью","")</f>
        <v/>
      </c>
      <c r="J37" s="12">
        <f>(+F28*0.042 + 136.3)*(0.818+0.0446*F24)</f>
        <v>248.20571040144063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0"/>
  <sheetViews>
    <sheetView topLeftCell="A6" zoomScale="60" zoomScaleNormal="60" workbookViewId="0">
      <selection activeCell="A35" sqref="A35"/>
    </sheetView>
  </sheetViews>
  <sheetFormatPr defaultRowHeight="12.75" x14ac:dyDescent="0.2"/>
  <cols>
    <col min="3" max="3" width="42.85546875" customWidth="1"/>
    <col min="4" max="4" width="5.42578125" customWidth="1"/>
    <col min="5" max="5" width="29" customWidth="1"/>
    <col min="6" max="6" width="13.7109375" customWidth="1"/>
    <col min="8" max="8" width="58" customWidth="1"/>
    <col min="9" max="9" width="3.7109375" customWidth="1"/>
    <col min="10" max="10" width="15.42578125" customWidth="1"/>
  </cols>
  <sheetData>
    <row r="1" spans="1:11" ht="18" x14ac:dyDescent="0.25">
      <c r="F1" s="101"/>
      <c r="H1" s="102" t="s">
        <v>162</v>
      </c>
    </row>
    <row r="2" spans="1:11" ht="18" x14ac:dyDescent="0.25">
      <c r="F2" s="101"/>
      <c r="H2" s="102" t="s">
        <v>163</v>
      </c>
    </row>
    <row r="3" spans="1:11" ht="18" x14ac:dyDescent="0.25">
      <c r="F3" s="101"/>
      <c r="H3" s="103" t="s">
        <v>191</v>
      </c>
    </row>
    <row r="4" spans="1:11" ht="18" x14ac:dyDescent="0.25">
      <c r="A4" s="5"/>
      <c r="F4" s="101"/>
      <c r="H4" s="103" t="s">
        <v>192</v>
      </c>
    </row>
    <row r="5" spans="1:11" ht="18" x14ac:dyDescent="0.25">
      <c r="A5" s="5"/>
      <c r="F5" s="101"/>
      <c r="H5" s="103" t="s">
        <v>193</v>
      </c>
    </row>
    <row r="6" spans="1:11" ht="18" x14ac:dyDescent="0.25">
      <c r="A6" s="5"/>
      <c r="F6" s="101"/>
      <c r="H6" s="103" t="s">
        <v>164</v>
      </c>
    </row>
    <row r="7" spans="1:11" ht="18" x14ac:dyDescent="0.25">
      <c r="A7" s="5" t="s">
        <v>165</v>
      </c>
      <c r="B7" s="5"/>
      <c r="C7" s="5"/>
      <c r="D7" s="5"/>
      <c r="E7" s="5"/>
      <c r="F7" s="104">
        <v>3.66</v>
      </c>
      <c r="H7" s="105" t="s">
        <v>166</v>
      </c>
    </row>
    <row r="8" spans="1:11" ht="15.75" x14ac:dyDescent="0.25">
      <c r="A8" s="5"/>
      <c r="B8" s="5"/>
      <c r="C8" s="5"/>
      <c r="D8" s="5"/>
      <c r="E8" s="5"/>
      <c r="F8" s="106"/>
    </row>
    <row r="9" spans="1:11" ht="15.75" x14ac:dyDescent="0.25">
      <c r="A9" s="5" t="s">
        <v>167</v>
      </c>
      <c r="B9" s="5"/>
      <c r="C9" s="5"/>
      <c r="D9" s="5"/>
      <c r="E9" s="5"/>
      <c r="F9" s="104">
        <v>4.88</v>
      </c>
      <c r="H9" s="13" t="s">
        <v>168</v>
      </c>
    </row>
    <row r="10" spans="1:11" ht="15.75" x14ac:dyDescent="0.25">
      <c r="A10" s="5"/>
      <c r="B10" s="5"/>
      <c r="C10" s="5"/>
      <c r="D10" s="5"/>
      <c r="E10" s="5"/>
      <c r="F10" s="106"/>
    </row>
    <row r="11" spans="1:11" ht="20.25" x14ac:dyDescent="0.3">
      <c r="A11" s="5" t="s">
        <v>169</v>
      </c>
      <c r="B11" s="5"/>
      <c r="C11" s="5"/>
      <c r="D11" s="5"/>
      <c r="E11" s="5"/>
      <c r="F11" s="104">
        <v>145.1</v>
      </c>
      <c r="H11" s="13" t="s">
        <v>170</v>
      </c>
      <c r="J11" s="40">
        <f>+F9</f>
        <v>4.88</v>
      </c>
    </row>
    <row r="12" spans="1:11" ht="15.75" x14ac:dyDescent="0.25">
      <c r="A12" s="5"/>
      <c r="B12" s="5"/>
      <c r="C12" s="5"/>
      <c r="D12" s="5"/>
      <c r="E12" s="5"/>
      <c r="F12" s="106"/>
    </row>
    <row r="13" spans="1:11" ht="20.25" x14ac:dyDescent="0.3">
      <c r="A13" s="5" t="s">
        <v>171</v>
      </c>
      <c r="B13" s="5"/>
      <c r="C13" s="5"/>
      <c r="D13" s="5"/>
      <c r="E13" s="5"/>
      <c r="F13" s="104">
        <v>0.35</v>
      </c>
      <c r="H13" s="13" t="s">
        <v>172</v>
      </c>
      <c r="K13" s="40">
        <f>+F7</f>
        <v>3.66</v>
      </c>
    </row>
    <row r="14" spans="1:11" ht="15.75" x14ac:dyDescent="0.25">
      <c r="B14" s="5"/>
      <c r="C14" s="5"/>
      <c r="D14" s="5"/>
      <c r="E14" s="5"/>
      <c r="F14" s="107" t="str">
        <f>+IF(F13&gt;1,"nghell F13 rhaid bod yn llai na 1"," ")</f>
        <v xml:space="preserve"> </v>
      </c>
    </row>
    <row r="15" spans="1:11" ht="15.75" x14ac:dyDescent="0.25">
      <c r="A15" s="5" t="s">
        <v>173</v>
      </c>
      <c r="B15" s="5"/>
      <c r="C15" s="5"/>
      <c r="D15" s="5"/>
      <c r="E15" s="5"/>
      <c r="F15" s="104">
        <v>15.24</v>
      </c>
      <c r="H15" s="13" t="s">
        <v>174</v>
      </c>
    </row>
    <row r="16" spans="1:11" ht="15.75" x14ac:dyDescent="0.25">
      <c r="A16" s="5"/>
      <c r="B16" s="5"/>
      <c r="C16" s="5"/>
      <c r="D16" s="5"/>
      <c r="E16" s="5"/>
      <c r="F16" s="107" t="str">
        <f>+IF(F15&gt;60,"Ystyriwch haenen deneuach yn F15", " ")</f>
        <v xml:space="preserve"> </v>
      </c>
    </row>
    <row r="17" spans="1:14" ht="15.75" x14ac:dyDescent="0.25">
      <c r="A17" s="5" t="s">
        <v>175</v>
      </c>
      <c r="B17" s="5"/>
      <c r="C17" s="5"/>
      <c r="D17" s="5"/>
      <c r="E17" s="5" t="s">
        <v>201</v>
      </c>
      <c r="F17" s="106"/>
      <c r="H17" s="5" t="s">
        <v>176</v>
      </c>
    </row>
    <row r="18" spans="1:14" ht="15.75" x14ac:dyDescent="0.25">
      <c r="A18" s="6" t="s">
        <v>200</v>
      </c>
      <c r="B18" s="5"/>
      <c r="C18" s="5"/>
      <c r="D18" s="5"/>
      <c r="E18" s="5"/>
      <c r="F18" s="106"/>
      <c r="H18" s="5"/>
      <c r="K18" s="18"/>
      <c r="L18" s="18"/>
    </row>
    <row r="19" spans="1:14" ht="15.75" x14ac:dyDescent="0.25">
      <c r="A19" s="5" t="s">
        <v>177</v>
      </c>
      <c r="B19" s="5"/>
      <c r="C19" s="15"/>
      <c r="D19" s="5"/>
      <c r="E19" s="5"/>
      <c r="F19" s="108">
        <v>18144</v>
      </c>
      <c r="G19" s="19">
        <f>IF(F19&gt;0,H19,0)</f>
        <v>100</v>
      </c>
      <c r="H19" s="50">
        <v>100</v>
      </c>
      <c r="I19" s="14" t="str">
        <f>IF(AND(F19&gt;0,H19&lt;1), "Gwall yng nghell F19 neu H19", IF(AND(F19&lt;1,H19&gt;0),"Gwall yng nghell F19 neu H19"," "))</f>
        <v xml:space="preserve"> </v>
      </c>
      <c r="J19" s="17"/>
      <c r="K19" s="17"/>
      <c r="L19" s="17"/>
    </row>
    <row r="20" spans="1:14" ht="15.75" x14ac:dyDescent="0.25">
      <c r="A20" s="5" t="s">
        <v>178</v>
      </c>
      <c r="B20" s="5"/>
      <c r="C20" s="15"/>
      <c r="D20" s="5"/>
      <c r="E20" s="5"/>
      <c r="F20" s="104">
        <v>18144</v>
      </c>
      <c r="G20" s="19">
        <f>IF(F20&gt;0,H20,0)</f>
        <v>100</v>
      </c>
      <c r="H20" s="50">
        <v>100</v>
      </c>
      <c r="I20" s="14" t="str">
        <f>IF(AND(F20&gt;0,H20&lt;1), "Gwall yng nghell F20 neu H20", IF(AND(F20&lt;1,H20&gt;0),"Gwall yng nghell F20 neu H20"," "))</f>
        <v xml:space="preserve"> </v>
      </c>
      <c r="J20" s="17"/>
      <c r="K20" s="17"/>
      <c r="L20" s="17"/>
      <c r="M20" s="18"/>
    </row>
    <row r="21" spans="1:14" ht="15.75" x14ac:dyDescent="0.25">
      <c r="A21" s="5" t="s">
        <v>179</v>
      </c>
      <c r="B21" s="5"/>
      <c r="C21" s="15"/>
      <c r="D21" s="5"/>
      <c r="E21" s="5"/>
      <c r="F21" s="109">
        <v>0</v>
      </c>
      <c r="G21" s="19">
        <f>IF(F21&gt;0,H21,0)</f>
        <v>0</v>
      </c>
      <c r="H21" s="50">
        <v>0</v>
      </c>
      <c r="I21" s="14" t="str">
        <f>IF(AND(F21&gt;0,H21&lt;1), "Gwall yng nghell F21 neu H21", IF(AND(F21&lt;1,H21&gt;0),"Gwall yng nghell F21 neu H21"," "))</f>
        <v xml:space="preserve"> </v>
      </c>
      <c r="J21" s="17"/>
      <c r="K21" s="17"/>
      <c r="L21" s="17"/>
      <c r="M21" s="18"/>
    </row>
    <row r="22" spans="1:14" ht="15.75" x14ac:dyDescent="0.25">
      <c r="A22" s="5" t="s">
        <v>180</v>
      </c>
      <c r="B22" s="5"/>
      <c r="C22" s="15"/>
      <c r="D22" s="5"/>
      <c r="E22" s="5"/>
      <c r="F22" s="104">
        <v>0</v>
      </c>
      <c r="G22" s="19">
        <f>IF(F22&gt;0,H22,0)</f>
        <v>0</v>
      </c>
      <c r="H22" s="50">
        <v>0</v>
      </c>
      <c r="I22" s="14" t="str">
        <f>IF(AND(F22&gt;0,H22&lt;1), "Gwall yng nghell F22 neu H22", IF(AND(F22&lt;1,H22&gt;0),"Gwall yng nghell F22 neu H22"," "))</f>
        <v xml:space="preserve"> </v>
      </c>
      <c r="J22" s="17"/>
      <c r="K22" s="17"/>
      <c r="M22" s="18"/>
    </row>
    <row r="23" spans="1:14" ht="15.75" x14ac:dyDescent="0.25">
      <c r="A23" s="5" t="s">
        <v>181</v>
      </c>
      <c r="C23" s="5"/>
      <c r="D23" s="5"/>
      <c r="E23" s="5"/>
      <c r="F23" s="110">
        <f>+F19*H19/100 +F20*H20/100+F21*H21/100+F22*H22/100</f>
        <v>36288</v>
      </c>
      <c r="K23" s="17"/>
      <c r="M23" s="18"/>
    </row>
    <row r="24" spans="1:14" ht="15.75" x14ac:dyDescent="0.25">
      <c r="A24" s="5" t="s">
        <v>182</v>
      </c>
      <c r="B24" s="5"/>
      <c r="C24" s="5"/>
      <c r="D24" s="5"/>
      <c r="E24" s="5"/>
      <c r="F24" s="111">
        <f>+(+F7+F9)/2</f>
        <v>4.2699999999999996</v>
      </c>
      <c r="H24" s="45" t="s">
        <v>183</v>
      </c>
      <c r="K24" s="17"/>
      <c r="M24" s="18"/>
    </row>
    <row r="25" spans="1:14" ht="15.75" x14ac:dyDescent="0.25">
      <c r="A25" s="6" t="s">
        <v>184</v>
      </c>
      <c r="B25" s="5"/>
      <c r="C25" s="5"/>
      <c r="D25" s="5"/>
      <c r="E25" s="5"/>
      <c r="F25" s="106"/>
    </row>
    <row r="26" spans="1:14" ht="15.75" x14ac:dyDescent="0.25">
      <c r="A26" s="5"/>
      <c r="B26" s="5"/>
      <c r="C26" s="5"/>
      <c r="E26" s="9" t="s">
        <v>185</v>
      </c>
      <c r="F26" s="112">
        <f>+MAX(K30:N33)</f>
        <v>2614.9499685899414</v>
      </c>
      <c r="H26" s="11" t="s">
        <v>186</v>
      </c>
      <c r="I26" s="11"/>
      <c r="K26" s="16"/>
    </row>
    <row r="27" spans="1:14" ht="15.75" x14ac:dyDescent="0.25">
      <c r="A27" s="9" t="s">
        <v>187</v>
      </c>
      <c r="B27" s="11"/>
      <c r="C27" s="11"/>
      <c r="D27" s="11"/>
      <c r="E27" s="11"/>
      <c r="F27" s="112">
        <f>F33/F13</f>
        <v>709.15917257554474</v>
      </c>
      <c r="H27" s="113" t="s">
        <v>194</v>
      </c>
      <c r="I27" s="113"/>
    </row>
    <row r="28" spans="1:14" ht="15.75" x14ac:dyDescent="0.25">
      <c r="A28" s="9" t="s">
        <v>195</v>
      </c>
      <c r="B28" s="11"/>
      <c r="C28" s="11"/>
      <c r="D28" s="11"/>
      <c r="E28" s="11"/>
      <c r="F28" s="112">
        <f>F13*1499.47 +(1-F13)*999.65</f>
        <v>1174.587</v>
      </c>
      <c r="H28" s="113" t="s">
        <v>188</v>
      </c>
      <c r="I28" s="113"/>
    </row>
    <row r="29" spans="1:14" x14ac:dyDescent="0.2">
      <c r="F29" s="101"/>
      <c r="J29" s="19"/>
      <c r="K29" s="19">
        <v>19</v>
      </c>
      <c r="L29" s="19">
        <v>20</v>
      </c>
      <c r="M29" s="19">
        <v>21</v>
      </c>
      <c r="N29" s="19">
        <v>22</v>
      </c>
    </row>
    <row r="30" spans="1:14" ht="15.75" x14ac:dyDescent="0.25">
      <c r="D30" s="9" t="s">
        <v>196</v>
      </c>
      <c r="E30" s="9"/>
      <c r="F30" s="114">
        <f>1-(F27/F28)</f>
        <v>0.39624806627730025</v>
      </c>
      <c r="H30" s="113" t="s">
        <v>189</v>
      </c>
      <c r="I30" s="3"/>
      <c r="J30" s="19">
        <v>19</v>
      </c>
      <c r="K30" s="21">
        <f>+($F$19/$F$15)*($F$13*10*$G$19/$F$11)^0.5</f>
        <v>1849.0488552534971</v>
      </c>
      <c r="L30" s="21">
        <f>+(($F$19*$G$19+$F$20*$G$20)/IF($G$19+$G$20,$G$19+$G$20,1)/$F$15)*($F$13*10*SUM($G$19:$G$20)/$F$11)^0.5</f>
        <v>2614.9499685899414</v>
      </c>
      <c r="M30" s="21">
        <f>+(($F$19*$G$19+$F$20*$G$20+$F$21*$G$21)/IF($G$19+$G$20+$G$21,$G$19+$G$20+$G$21,1)/$F$15)*($F$13*10*SUM($G$19:$G$21)/$F$11)^0.5</f>
        <v>2614.9499685899414</v>
      </c>
      <c r="N30" s="21">
        <f>+(($F$19*$G$19+$F$20*$G$20+$F$21*$G$21+$F$22*$G$22)/IF(SUM($G$19:$G$22),SUM($G$19:$G$22),1)/$F$15)*($F$13*10*SUM($G$19:$G$22)/$F$11)^0.5</f>
        <v>2614.9499685899414</v>
      </c>
    </row>
    <row r="31" spans="1:14" ht="15.75" x14ac:dyDescent="0.25">
      <c r="F31" s="101"/>
      <c r="J31" s="19">
        <v>20</v>
      </c>
      <c r="K31" s="21"/>
      <c r="L31" s="21">
        <f>+($F$20/$F$15)*($F$13*10*$G$20/$F$11)^0.5</f>
        <v>1849.0488552534971</v>
      </c>
      <c r="M31" s="21">
        <f>+(($F$20*$G$20+$F$21*$G$21)/IF($G$20+$G$21,$G$20+$G$21,1)/$F$15)*($F$13*10*SUM($G$20:$G$21)/$F$11)^0.5</f>
        <v>1849.0488552534971</v>
      </c>
      <c r="N31" s="21">
        <f>+(($F$20*$G$20+$F$21*$G$21+$F$22*$G$22)/IF(SUM($G$20:$G$22),SUM($G$20:$G$22),1)/$F$15)*($F$13*10*SUM($G$20:$G$22)/$F$11)^0.5</f>
        <v>1849.0488552534971</v>
      </c>
    </row>
    <row r="32" spans="1:14" ht="15.75" x14ac:dyDescent="0.25">
      <c r="F32" s="101"/>
      <c r="J32" s="19">
        <v>21</v>
      </c>
      <c r="K32" s="21">
        <f>+(($F$19*$G$19+$F$21*$G21)/IF($G$19+$G21,$G$19+$G21,1)/$F$15)*($F$13*10*SUM($G$19,$G21)/$F$11)^0.5</f>
        <v>1849.0488552534971</v>
      </c>
      <c r="L32" s="21"/>
      <c r="M32" s="21">
        <f>+($F$21/$F$15)*(($F$13*10*$G$21)/$F$11)^0.5</f>
        <v>0</v>
      </c>
      <c r="N32" s="21">
        <f>+(($F$21*$G$21+$F$22*$G$22)/IF($G$21+$G$22,$G$21+$G$22,1)/$F$15)*($F$13*10*SUM($G$21:$G$22)/$F$11)^0.5</f>
        <v>0</v>
      </c>
    </row>
    <row r="33" spans="1:14" ht="15.75" x14ac:dyDescent="0.25">
      <c r="A33" s="9" t="s">
        <v>197</v>
      </c>
      <c r="B33" s="9"/>
      <c r="C33" s="9"/>
      <c r="D33" s="9"/>
      <c r="E33" s="9"/>
      <c r="F33" s="112">
        <f>+IF(F34&lt;J35,F34,J35)</f>
        <v>248.20571040144063</v>
      </c>
      <c r="H33" s="113" t="s">
        <v>198</v>
      </c>
      <c r="I33" s="3"/>
      <c r="J33" s="19">
        <v>22</v>
      </c>
      <c r="K33" s="21">
        <f>+(($F$19*$G$19+$F$22*$G$22)/IF($G$19+$G$22,$G$19+$G$22,1)/$F$15)*($F$13*10*SUM($G$19,$G$22)/$F$11)^0.5</f>
        <v>1849.0488552534971</v>
      </c>
      <c r="L33" s="21">
        <f>+(($F$20*$G$20+$F$22*$G$22)/IF($G$20+$G$22,$G$20+$G$22,1)/$F$15)*($F$13*10*SUM($G$20,$G$22)/$F$11)^0.5</f>
        <v>1849.0488552534971</v>
      </c>
      <c r="M33" s="21">
        <f>+(($F$19*$G$19+$F$21*$G$21+$F$22*$G$22)/IF($G$19+$G$21+$G$22,$G$19+$G$21+$G$22,1)/$F$15)*($F$13*10*SUM($G$19,$G$21:$G$22)/$F$11)^0.5</f>
        <v>1849.0488552534971</v>
      </c>
      <c r="N33" s="21">
        <f>+($F$22/$F$15)*($F$13*10*$G$22/$F$11)^0.5</f>
        <v>0</v>
      </c>
    </row>
    <row r="34" spans="1:14" ht="15.75" x14ac:dyDescent="0.25">
      <c r="A34" s="9" t="s">
        <v>199</v>
      </c>
      <c r="B34" s="11"/>
      <c r="C34" s="11"/>
      <c r="D34" s="11"/>
      <c r="E34" s="11"/>
      <c r="F34" s="112">
        <f>+F13*(F13*1500 + (1-F13)*1000)</f>
        <v>411.25</v>
      </c>
      <c r="H34" s="113" t="s">
        <v>190</v>
      </c>
      <c r="I34" s="113"/>
    </row>
    <row r="35" spans="1:14" ht="15.75" x14ac:dyDescent="0.25">
      <c r="A35" s="10" t="str">
        <f>+IF(F33=F34,"Amc. Dwysedd Sych yn cael ei reoli gan y Dwysedd Sych Uchaf Posib","")</f>
        <v/>
      </c>
      <c r="F35" s="101"/>
      <c r="J35" s="12">
        <f>(+F26*0.042 + 136.3)*(0.818+0.0446*F24)</f>
        <v>248.20571040144063</v>
      </c>
    </row>
    <row r="36" spans="1:14" x14ac:dyDescent="0.2">
      <c r="F36" s="101"/>
    </row>
    <row r="37" spans="1:14" x14ac:dyDescent="0.2">
      <c r="F37" s="101"/>
    </row>
    <row r="38" spans="1:14" x14ac:dyDescent="0.2">
      <c r="F38" s="101"/>
    </row>
    <row r="39" spans="1:14" x14ac:dyDescent="0.2">
      <c r="F39" s="101"/>
    </row>
    <row r="40" spans="1:14" x14ac:dyDescent="0.2">
      <c r="F40" s="101"/>
    </row>
    <row r="41" spans="1:14" x14ac:dyDescent="0.2">
      <c r="F41" s="101"/>
    </row>
    <row r="42" spans="1:14" x14ac:dyDescent="0.2">
      <c r="F42" s="101"/>
    </row>
    <row r="43" spans="1:14" x14ac:dyDescent="0.2">
      <c r="F43" s="101"/>
    </row>
    <row r="44" spans="1:14" x14ac:dyDescent="0.2">
      <c r="F44" s="101"/>
    </row>
    <row r="45" spans="1:14" x14ac:dyDescent="0.2">
      <c r="F45" s="101"/>
    </row>
    <row r="46" spans="1:14" x14ac:dyDescent="0.2">
      <c r="F46" s="101"/>
    </row>
    <row r="47" spans="1:14" x14ac:dyDescent="0.2">
      <c r="F47" s="101"/>
    </row>
    <row r="48" spans="1:14" x14ac:dyDescent="0.2">
      <c r="F48" s="101"/>
    </row>
    <row r="49" spans="6:6" x14ac:dyDescent="0.2">
      <c r="F49" s="101"/>
    </row>
    <row r="50" spans="6:6" x14ac:dyDescent="0.2">
      <c r="F50" s="101"/>
    </row>
    <row r="51" spans="6:6" x14ac:dyDescent="0.2">
      <c r="F51" s="101"/>
    </row>
    <row r="52" spans="6:6" x14ac:dyDescent="0.2">
      <c r="F52" s="101"/>
    </row>
    <row r="53" spans="6:6" x14ac:dyDescent="0.2">
      <c r="F53" s="101"/>
    </row>
    <row r="54" spans="6:6" x14ac:dyDescent="0.2">
      <c r="F54" s="101"/>
    </row>
    <row r="55" spans="6:6" x14ac:dyDescent="0.2">
      <c r="F55" s="101"/>
    </row>
    <row r="56" spans="6:6" x14ac:dyDescent="0.2">
      <c r="F56" s="101"/>
    </row>
    <row r="57" spans="6:6" x14ac:dyDescent="0.2">
      <c r="F57" s="101"/>
    </row>
    <row r="58" spans="6:6" x14ac:dyDescent="0.2">
      <c r="F58" s="101"/>
    </row>
    <row r="59" spans="6:6" x14ac:dyDescent="0.2">
      <c r="F59" s="101"/>
    </row>
    <row r="60" spans="6:6" x14ac:dyDescent="0.2">
      <c r="F60" s="101"/>
    </row>
    <row r="61" spans="6:6" x14ac:dyDescent="0.2">
      <c r="F61" s="101"/>
    </row>
    <row r="62" spans="6:6" x14ac:dyDescent="0.2">
      <c r="F62" s="101"/>
    </row>
    <row r="63" spans="6:6" x14ac:dyDescent="0.2">
      <c r="F63" s="101"/>
    </row>
    <row r="64" spans="6:6" x14ac:dyDescent="0.2">
      <c r="F64" s="101"/>
    </row>
    <row r="65" spans="6:6" x14ac:dyDescent="0.2">
      <c r="F65" s="101"/>
    </row>
    <row r="66" spans="6:6" x14ac:dyDescent="0.2">
      <c r="F66" s="101"/>
    </row>
    <row r="67" spans="6:6" x14ac:dyDescent="0.2">
      <c r="F67" s="101"/>
    </row>
    <row r="68" spans="6:6" x14ac:dyDescent="0.2">
      <c r="F68" s="101"/>
    </row>
    <row r="69" spans="6:6" x14ac:dyDescent="0.2">
      <c r="F69" s="101"/>
    </row>
    <row r="70" spans="6:6" x14ac:dyDescent="0.2">
      <c r="F70" s="101"/>
    </row>
    <row r="71" spans="6:6" x14ac:dyDescent="0.2">
      <c r="F71" s="101"/>
    </row>
    <row r="72" spans="6:6" x14ac:dyDescent="0.2">
      <c r="F72" s="101"/>
    </row>
    <row r="73" spans="6:6" x14ac:dyDescent="0.2">
      <c r="F73" s="101"/>
    </row>
    <row r="74" spans="6:6" x14ac:dyDescent="0.2">
      <c r="F74" s="101"/>
    </row>
    <row r="75" spans="6:6" x14ac:dyDescent="0.2">
      <c r="F75" s="101"/>
    </row>
    <row r="76" spans="6:6" x14ac:dyDescent="0.2">
      <c r="F76" s="101"/>
    </row>
    <row r="77" spans="6:6" x14ac:dyDescent="0.2">
      <c r="F77" s="101"/>
    </row>
    <row r="78" spans="6:6" x14ac:dyDescent="0.2">
      <c r="F78" s="101"/>
    </row>
    <row r="79" spans="6:6" x14ac:dyDescent="0.2">
      <c r="F79" s="101"/>
    </row>
    <row r="80" spans="6:6" x14ac:dyDescent="0.2">
      <c r="F80" s="101"/>
    </row>
    <row r="81" spans="6:6" x14ac:dyDescent="0.2">
      <c r="F81" s="101"/>
    </row>
    <row r="82" spans="6:6" x14ac:dyDescent="0.2">
      <c r="F82" s="101"/>
    </row>
    <row r="83" spans="6:6" x14ac:dyDescent="0.2">
      <c r="F83" s="101"/>
    </row>
    <row r="84" spans="6:6" x14ac:dyDescent="0.2">
      <c r="F84" s="101"/>
    </row>
    <row r="85" spans="6:6" x14ac:dyDescent="0.2">
      <c r="F85" s="101"/>
    </row>
    <row r="86" spans="6:6" x14ac:dyDescent="0.2">
      <c r="F86" s="101"/>
    </row>
    <row r="87" spans="6:6" x14ac:dyDescent="0.2">
      <c r="F87" s="101"/>
    </row>
    <row r="88" spans="6:6" x14ac:dyDescent="0.2">
      <c r="F88" s="101"/>
    </row>
    <row r="89" spans="6:6" x14ac:dyDescent="0.2">
      <c r="F89" s="101"/>
    </row>
    <row r="90" spans="6:6" x14ac:dyDescent="0.2">
      <c r="F90" s="10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English Units</vt:lpstr>
      <vt:lpstr>English (Metric Units)</vt:lpstr>
      <vt:lpstr> Espanol (English Units)</vt:lpstr>
      <vt:lpstr>Espanol - (unidades métricas)</vt:lpstr>
      <vt:lpstr>Russian</vt:lpstr>
      <vt:lpstr> Welsh (Unedau Metrig-Cymraeg)</vt:lpstr>
    </vt:vector>
  </TitlesOfParts>
  <Company>Biological Systems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Silage Density in Bunker Silo</dc:title>
  <dc:creator>Brian J. Holmes</dc:creator>
  <cp:lastModifiedBy>Stephanie Cold</cp:lastModifiedBy>
  <cp:lastPrinted>1999-06-29T14:56:49Z</cp:lastPrinted>
  <dcterms:created xsi:type="dcterms:W3CDTF">1999-04-02T15:53:20Z</dcterms:created>
  <dcterms:modified xsi:type="dcterms:W3CDTF">2019-05-29T16:37:35Z</dcterms:modified>
</cp:coreProperties>
</file>