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dlpsrv001v.uwcx.net\extension_users$\michael.rankin\My Documents\Spreadsheets\"/>
    </mc:Choice>
  </mc:AlternateContent>
  <bookViews>
    <workbookView xWindow="390" yWindow="30" windowWidth="13980" windowHeight="12795" firstSheet="1" activeTab="2"/>
  </bookViews>
  <sheets>
    <sheet name="Introduction" sheetId="8" r:id="rId1"/>
    <sheet name="Pricing STANDING Corn Silage" sheetId="11" r:id="rId2"/>
    <sheet name="Pricing HARVESTED Corn Silage" sheetId="15" r:id="rId3"/>
    <sheet name="Moisture Adjustment" sheetId="14" r:id="rId4"/>
    <sheet name="Yield Estimate" sheetId="6" r:id="rId5"/>
  </sheets>
  <definedNames>
    <definedName name="_xlnm.Print_Area" localSheetId="2">'Pricing HARVESTED Corn Silage'!$A$1:$J$56</definedName>
    <definedName name="_xlnm.Print_Area" localSheetId="1">'Pricing STANDING Corn Silage'!$A$1:$J$41</definedName>
  </definedNames>
  <calcPr calcId="152511" concurrentCalc="0"/>
</workbook>
</file>

<file path=xl/calcChain.xml><?xml version="1.0" encoding="utf-8"?>
<calcChain xmlns="http://schemas.openxmlformats.org/spreadsheetml/2006/main">
  <c r="D46" i="15" l="1"/>
  <c r="C99" i="15"/>
  <c r="D43" i="15"/>
  <c r="C100" i="15"/>
  <c r="D44" i="15"/>
  <c r="C101" i="15"/>
  <c r="D45" i="15"/>
  <c r="A27" i="15"/>
  <c r="C27" i="15"/>
  <c r="D20" i="15"/>
  <c r="D39" i="15"/>
  <c r="D34" i="15"/>
  <c r="D40" i="15"/>
  <c r="D35" i="15"/>
  <c r="D37" i="15"/>
  <c r="C87" i="15"/>
  <c r="B88" i="15"/>
  <c r="D91" i="15"/>
  <c r="F91" i="15"/>
  <c r="C10" i="15"/>
  <c r="E10" i="15"/>
  <c r="H7" i="15"/>
  <c r="E91" i="15"/>
  <c r="G7" i="15"/>
  <c r="G11" i="15"/>
  <c r="G12" i="15"/>
  <c r="E17" i="15"/>
  <c r="F18" i="15"/>
  <c r="E24" i="15"/>
  <c r="E29" i="15"/>
  <c r="E25" i="15"/>
  <c r="D29" i="15"/>
  <c r="C86" i="15"/>
  <c r="C33" i="15"/>
  <c r="G14" i="14"/>
  <c r="G21" i="14"/>
  <c r="F14" i="14"/>
  <c r="F20" i="14"/>
  <c r="E14" i="14"/>
  <c r="E21" i="14"/>
  <c r="D14" i="14"/>
  <c r="D19" i="14"/>
  <c r="C14" i="14"/>
  <c r="C21" i="14"/>
  <c r="B21" i="14"/>
  <c r="G20" i="14"/>
  <c r="D20" i="14"/>
  <c r="C20" i="14"/>
  <c r="B20" i="14"/>
  <c r="F19" i="14"/>
  <c r="E19" i="14"/>
  <c r="B19" i="14"/>
  <c r="G18" i="14"/>
  <c r="D18" i="14"/>
  <c r="C18" i="14"/>
  <c r="B18" i="14"/>
  <c r="F17" i="14"/>
  <c r="E17" i="14"/>
  <c r="B17" i="14"/>
  <c r="G16" i="14"/>
  <c r="D16" i="14"/>
  <c r="C16" i="14"/>
  <c r="B16" i="14"/>
  <c r="F15" i="14"/>
  <c r="E15" i="14"/>
  <c r="B15" i="14"/>
  <c r="F27" i="11"/>
  <c r="H27" i="11"/>
  <c r="D20" i="11"/>
  <c r="D30" i="11"/>
  <c r="D25" i="11"/>
  <c r="D26" i="11"/>
  <c r="D28" i="11"/>
  <c r="C72" i="11"/>
  <c r="B73" i="11"/>
  <c r="D76" i="11"/>
  <c r="F76" i="11"/>
  <c r="C10" i="11"/>
  <c r="E10" i="11"/>
  <c r="H7" i="11"/>
  <c r="E76" i="11"/>
  <c r="G7" i="11"/>
  <c r="G11" i="11"/>
  <c r="E17" i="11"/>
  <c r="F18" i="11"/>
  <c r="C24" i="11"/>
  <c r="C86" i="11"/>
  <c r="C85" i="11"/>
  <c r="C84" i="11"/>
  <c r="C71" i="11"/>
  <c r="B3" i="6"/>
  <c r="A4" i="6"/>
  <c r="C7" i="6"/>
  <c r="E7" i="6"/>
  <c r="D7" i="6"/>
  <c r="B2" i="6"/>
  <c r="I34" i="15"/>
  <c r="G10" i="15"/>
  <c r="D31" i="11"/>
  <c r="E20" i="15"/>
  <c r="E20" i="11"/>
  <c r="H11" i="15"/>
  <c r="H12" i="15"/>
  <c r="H13" i="15"/>
  <c r="H10" i="15"/>
  <c r="H11" i="11"/>
  <c r="H10" i="11"/>
  <c r="D52" i="15"/>
  <c r="D54" i="15"/>
  <c r="D55" i="15"/>
  <c r="D21" i="14"/>
  <c r="F21" i="14"/>
  <c r="G10" i="11"/>
  <c r="G12" i="11"/>
  <c r="C15" i="14"/>
  <c r="G15" i="14"/>
  <c r="E16" i="14"/>
  <c r="C17" i="14"/>
  <c r="G17" i="14"/>
  <c r="E18" i="14"/>
  <c r="C19" i="14"/>
  <c r="G19" i="14"/>
  <c r="E20" i="14"/>
  <c r="I33" i="15"/>
  <c r="D15" i="14"/>
  <c r="F16" i="14"/>
  <c r="D17" i="14"/>
  <c r="F18" i="14"/>
  <c r="D48" i="15"/>
  <c r="C48" i="15"/>
  <c r="H12" i="11"/>
  <c r="H13" i="11"/>
  <c r="I26" i="11"/>
  <c r="I28" i="11"/>
  <c r="I37" i="11"/>
  <c r="I39" i="11"/>
  <c r="I40" i="11"/>
  <c r="D26" i="15"/>
  <c r="I35" i="15"/>
  <c r="I37" i="15"/>
  <c r="I52" i="15"/>
  <c r="I54" i="15"/>
  <c r="I55" i="15"/>
  <c r="C33" i="11"/>
  <c r="D33" i="11"/>
  <c r="D37" i="11"/>
  <c r="D39" i="11"/>
  <c r="D40" i="11"/>
</calcChain>
</file>

<file path=xl/sharedStrings.xml><?xml version="1.0" encoding="utf-8"?>
<sst xmlns="http://schemas.openxmlformats.org/spreadsheetml/2006/main" count="261" uniqueCount="141">
  <si>
    <t>Buyer</t>
  </si>
  <si>
    <t>Seller</t>
  </si>
  <si>
    <t xml:space="preserve">     Storage Length (months)</t>
  </si>
  <si>
    <t xml:space="preserve">     $/Bushel/month</t>
  </si>
  <si>
    <t>Total Harvest Costs for Buyer/Acre</t>
  </si>
  <si>
    <t xml:space="preserve">Corn Silage Pricing Decision Aid </t>
  </si>
  <si>
    <t>c</t>
  </si>
  <si>
    <t>b</t>
  </si>
  <si>
    <t>a</t>
  </si>
  <si>
    <t>Tons DM</t>
  </si>
  <si>
    <t>Tons As Fed</t>
  </si>
  <si>
    <t>% DM</t>
  </si>
  <si>
    <t>Local Market Price for No.2 Corn at 15.5% moisture as Buyer or Seller</t>
  </si>
  <si>
    <t>Silage % DM</t>
  </si>
  <si>
    <t xml:space="preserve">Value of Standing Corn Silage ($/ton wet basis) </t>
  </si>
  <si>
    <t>Value of Standing Corn for Silage ($/ton DM)</t>
  </si>
  <si>
    <t>Chopping $/Acre</t>
  </si>
  <si>
    <t>Hauling $/Acre</t>
  </si>
  <si>
    <t>Concrete tower</t>
  </si>
  <si>
    <t>Type of Storage</t>
  </si>
  <si>
    <t>% loss</t>
  </si>
  <si>
    <t>Oxygen limiting tower</t>
  </si>
  <si>
    <t>Bunker</t>
  </si>
  <si>
    <t>Packed pile</t>
  </si>
  <si>
    <t>Bagged</t>
  </si>
  <si>
    <t>If a lab analysis is not available keep this in mind:</t>
  </si>
  <si>
    <t xml:space="preserve">NDFD base value is 58% </t>
  </si>
  <si>
    <t>Starch base value is 29%</t>
  </si>
  <si>
    <t xml:space="preserve">The spreadsheet develops a price from the seller’s (minimum to accept) and buyer’s (maximum to pay) perspectives.  </t>
  </si>
  <si>
    <t xml:space="preserve">This would represent the same returns to the seller if the seller harvested the corn for grain. </t>
  </si>
  <si>
    <t>The price is adjusted for the value of the phosphorus and potassium harvested in the stover.</t>
  </si>
  <si>
    <t xml:space="preserve">The seller will look at it from the standpoint of what is the value of the standing corn minus grain harvest costs. </t>
  </si>
  <si>
    <t xml:space="preserve">This spreadsheet adjusts the value of corn silage for quality based on what it would cost to purchase corn and straw to replace the nutritional value of corn silage. </t>
  </si>
  <si>
    <t>This would represent the maximum price the buyer would be willing to pay.</t>
  </si>
  <si>
    <t xml:space="preserve">The buyer will be looking at the price of standing corn in terms of quality and harvesting costs. </t>
  </si>
  <si>
    <t xml:space="preserve">Buyers and sellers need to consider local market conditions that would influence the final negotiated price. </t>
  </si>
  <si>
    <t xml:space="preserve">If the seller minimum is greater than the buyer maximum, it would be more economical to harvest the crop as grain versus silage. </t>
  </si>
  <si>
    <t xml:space="preserve">Because prices are likely to differ for buyer and seller, this spreadsheet is best suited to give a price range to start negotiations.  </t>
  </si>
  <si>
    <t>Developed By</t>
  </si>
  <si>
    <t>Please Enter Your Input Values into the Shaded Cells</t>
  </si>
  <si>
    <t>Dr. Joe Lauer: University of Wisconsin Corn Agronomist</t>
  </si>
  <si>
    <t>for your input in the development of this program</t>
  </si>
  <si>
    <t xml:space="preserve">     (Gross Value of Crop - Grain Harvest Costs)</t>
  </si>
  <si>
    <r>
      <t xml:space="preserve">b)  </t>
    </r>
    <r>
      <rPr>
        <b/>
        <sz val="10"/>
        <color indexed="8"/>
        <rFont val="Arial"/>
        <family val="2"/>
      </rPr>
      <t xml:space="preserve">On average there is a 9% grain yield reduction for harvest before black layer.  </t>
    </r>
  </si>
  <si>
    <t xml:space="preserve">           Serves to estimate value of stover to buyer in corn silage.</t>
  </si>
  <si>
    <r>
      <t>c)</t>
    </r>
    <r>
      <rPr>
        <b/>
        <sz val="10"/>
        <rFont val="Arial"/>
        <family val="2"/>
      </rPr>
      <t xml:space="preserve">  Average Grain Harvest Costs</t>
    </r>
  </si>
  <si>
    <t>Trucking</t>
  </si>
  <si>
    <t>Drying</t>
  </si>
  <si>
    <t>Storge (per month)</t>
  </si>
  <si>
    <t>$ per Bu.</t>
  </si>
  <si>
    <t>Expense</t>
  </si>
  <si>
    <t>0.15 - 0.20</t>
  </si>
  <si>
    <t>0.10 - 0.14</t>
  </si>
  <si>
    <t>0.02 - 0.03</t>
  </si>
  <si>
    <r>
      <t xml:space="preserve">d)  </t>
    </r>
    <r>
      <rPr>
        <b/>
        <sz val="10"/>
        <color indexed="8"/>
        <rFont val="Arial"/>
        <family val="2"/>
      </rPr>
      <t>Average is 2 - 3%</t>
    </r>
  </si>
  <si>
    <t>Use actual costs when possible, or refer to guidlines</t>
  </si>
  <si>
    <r>
      <t>g)</t>
    </r>
    <r>
      <rPr>
        <b/>
        <sz val="10"/>
        <rFont val="Arial"/>
        <family val="2"/>
      </rPr>
      <t xml:space="preserve">  Quality adjustments should be based on laboratory analysis when available</t>
    </r>
  </si>
  <si>
    <t xml:space="preserve">Thank you Dr. Randy Shaver and Dr. Jim Linn </t>
  </si>
  <si>
    <t>Guidelines</t>
  </si>
  <si>
    <t>Red letters refer to explanations or guidelines at bottom.</t>
  </si>
  <si>
    <r>
      <t>a)</t>
    </r>
    <r>
      <rPr>
        <b/>
        <sz val="10"/>
        <color indexed="8"/>
        <rFont val="Arial"/>
        <family val="2"/>
      </rPr>
      <t xml:space="preserve">  Straw Price: Use current market price for high quality (feed) straw.  </t>
    </r>
  </si>
  <si>
    <r>
      <t>f)</t>
    </r>
    <r>
      <rPr>
        <b/>
        <sz val="10"/>
        <rFont val="Arial"/>
        <family val="2"/>
      </rPr>
      <t xml:space="preserve">  Typical Harvest and Storage Losses Based on Storage Type</t>
    </r>
  </si>
  <si>
    <r>
      <t>e)</t>
    </r>
    <r>
      <rPr>
        <b/>
        <sz val="10"/>
        <rFont val="Arial"/>
        <family val="2"/>
      </rPr>
      <t xml:space="preserve">  </t>
    </r>
    <r>
      <rPr>
        <b/>
        <sz val="10"/>
        <color indexed="8"/>
        <rFont val="Arial"/>
        <family val="2"/>
      </rPr>
      <t>Use your own costs or current averages from the Wisconsin Cu</t>
    </r>
    <r>
      <rPr>
        <b/>
        <sz val="10"/>
        <rFont val="Arial"/>
        <family val="2"/>
      </rPr>
      <t>stom Rate Guide</t>
    </r>
  </si>
  <si>
    <t xml:space="preserve">Use your own costs or the following guidelines. </t>
  </si>
  <si>
    <t>Yield Information</t>
  </si>
  <si>
    <t>Estimated</t>
  </si>
  <si>
    <t>Actual</t>
  </si>
  <si>
    <t>Grain Yield Bushels/Acre</t>
  </si>
  <si>
    <t>Actual (if known)</t>
  </si>
  <si>
    <t xml:space="preserve">This spreadsheet is intended to provide a framework for negotiating the price of corn silage. </t>
  </si>
  <si>
    <t xml:space="preserve">Within the pricing harvested corn silage tab, under harvest costs, the user has the option of selecting  which costs the buyer will pay for.  </t>
  </si>
  <si>
    <t>Please notice that there are two pricing tabs: one for STANDING corn silage and a second for HARVESTED corn silage.</t>
  </si>
  <si>
    <t>Per Bushel</t>
  </si>
  <si>
    <t>Per Acre</t>
  </si>
  <si>
    <t>Trucking Cost</t>
  </si>
  <si>
    <t>Combining Cost</t>
  </si>
  <si>
    <t>Drying Cost</t>
  </si>
  <si>
    <t>Storage Cost</t>
  </si>
  <si>
    <t xml:space="preserve">Prices &amp; Adjustments </t>
  </si>
  <si>
    <t>P2O5</t>
  </si>
  <si>
    <t>K2O</t>
  </si>
  <si>
    <t>$/lb</t>
  </si>
  <si>
    <t>Yield</t>
  </si>
  <si>
    <t>Difference</t>
  </si>
  <si>
    <t>Corn Grain Discount $/bushel *</t>
  </si>
  <si>
    <t xml:space="preserve">     *Discount to seller for low test weight, mold, etc.  Do NOT include drying or storage costs.</t>
  </si>
  <si>
    <r>
      <t xml:space="preserve">h)  </t>
    </r>
    <r>
      <rPr>
        <b/>
        <sz val="10"/>
        <rFont val="Arial"/>
        <family val="2"/>
      </rPr>
      <t>From UWEX Publication A2809</t>
    </r>
  </si>
  <si>
    <t>From UWEX publication A2809</t>
  </si>
  <si>
    <t>Seller (Grain Grower's Perspective)</t>
  </si>
  <si>
    <t>Buyer (Silage Perspective)</t>
  </si>
  <si>
    <t>(total)</t>
  </si>
  <si>
    <t>Gross Value/Acre</t>
  </si>
  <si>
    <t>Total Costs/Acre</t>
  </si>
  <si>
    <t xml:space="preserve">Price Comparison (range to negotiate) </t>
  </si>
  <si>
    <t>Grain</t>
  </si>
  <si>
    <t>Silage</t>
  </si>
  <si>
    <t>P205 lb/bu or ton</t>
  </si>
  <si>
    <t>K20 lb/bu or ton</t>
  </si>
  <si>
    <t>P205 $/acre</t>
  </si>
  <si>
    <t>K20 $/acre</t>
  </si>
  <si>
    <t>Nutrient cost $/acre</t>
  </si>
  <si>
    <r>
      <t xml:space="preserve">Local Market Price per ton for poor quality/low protein forage to Buyer </t>
    </r>
    <r>
      <rPr>
        <sz val="16"/>
        <color indexed="10"/>
        <rFont val="Arial"/>
        <family val="2"/>
      </rPr>
      <t>(a)</t>
    </r>
  </si>
  <si>
    <r>
      <t xml:space="preserve">Average grain loss for harvest before black layer (Bushels/Acre) </t>
    </r>
    <r>
      <rPr>
        <sz val="16"/>
        <color indexed="10"/>
        <rFont val="Arial"/>
        <family val="2"/>
      </rPr>
      <t xml:space="preserve">(b) </t>
    </r>
    <r>
      <rPr>
        <sz val="16"/>
        <rFont val="Arial"/>
        <family val="2"/>
      </rPr>
      <t>Estimated</t>
    </r>
  </si>
  <si>
    <r>
      <t xml:space="preserve">     Over ride estimated loss for harvest before black layer.</t>
    </r>
    <r>
      <rPr>
        <sz val="16"/>
        <color indexed="10"/>
        <rFont val="Arial"/>
        <family val="2"/>
      </rPr>
      <t xml:space="preserve"> </t>
    </r>
    <r>
      <rPr>
        <b/>
        <sz val="16"/>
        <color indexed="10"/>
        <rFont val="Arial"/>
        <family val="2"/>
      </rPr>
      <t>*</t>
    </r>
  </si>
  <si>
    <r>
      <t xml:space="preserve">      </t>
    </r>
    <r>
      <rPr>
        <sz val="16"/>
        <color indexed="10"/>
        <rFont val="Arial"/>
        <family val="2"/>
      </rPr>
      <t>*</t>
    </r>
    <r>
      <rPr>
        <sz val="16"/>
        <rFont val="Arial"/>
        <family val="2"/>
      </rPr>
      <t xml:space="preserve"> </t>
    </r>
    <r>
      <rPr>
        <sz val="16"/>
        <color indexed="10"/>
        <rFont val="Arial"/>
        <family val="2"/>
      </rPr>
      <t>To use estimated black layer loss, over ride (E18) must be BLANK!</t>
    </r>
  </si>
  <si>
    <r>
      <t xml:space="preserve">Silage Harvest Costs </t>
    </r>
    <r>
      <rPr>
        <sz val="16"/>
        <color indexed="10"/>
        <rFont val="Arial"/>
        <family val="2"/>
      </rPr>
      <t>(e)</t>
    </r>
  </si>
  <si>
    <r>
      <t xml:space="preserve">% Harvest and Storage Loss </t>
    </r>
    <r>
      <rPr>
        <sz val="16"/>
        <color indexed="10"/>
        <rFont val="Arial"/>
        <family val="2"/>
      </rPr>
      <t>(d)</t>
    </r>
  </si>
  <si>
    <t>(                    )</t>
  </si>
  <si>
    <t>Nutrient Removal</t>
  </si>
  <si>
    <t>Value of Standing Corn Silage to Seller ($/ton wet basis)</t>
  </si>
  <si>
    <t>Value of Corn Silage to Seller ($/ton DM)</t>
  </si>
  <si>
    <t xml:space="preserve">Maximum Value/Acre Corn Silage to Buyer </t>
  </si>
  <si>
    <t xml:space="preserve">     (Gross Value Corn Silage - Silage Harvest Costs)</t>
  </si>
  <si>
    <t>$/Acre</t>
  </si>
  <si>
    <r>
      <t xml:space="preserve">Corn Silage/Tons Acre (Wet Basis) </t>
    </r>
    <r>
      <rPr>
        <sz val="16"/>
        <color indexed="10"/>
        <rFont val="Arial"/>
        <family val="2"/>
      </rPr>
      <t>*</t>
    </r>
  </si>
  <si>
    <t>*To use estimated yield actual column (D10) must be BLANK!</t>
  </si>
  <si>
    <r>
      <t xml:space="preserve">Harvest and Storage Loss </t>
    </r>
    <r>
      <rPr>
        <sz val="16"/>
        <color indexed="10"/>
        <rFont val="Arial"/>
        <family val="2"/>
      </rPr>
      <t xml:space="preserve">(f)     </t>
    </r>
  </si>
  <si>
    <t xml:space="preserve">Minimum Value/Acre Corn Silage to Seller </t>
  </si>
  <si>
    <t>Corn Silage Pricing Adjusting for Moisture Spreadsheet</t>
  </si>
  <si>
    <t>enter a price in the yellow cell</t>
  </si>
  <si>
    <t>Base Price  ($/ton as fed) at 65% Moisture</t>
  </si>
  <si>
    <t>% Moisture</t>
  </si>
  <si>
    <r>
      <t xml:space="preserve">Silage Harvest Costs </t>
    </r>
    <r>
      <rPr>
        <b/>
        <sz val="16"/>
        <color indexed="10"/>
        <rFont val="Arial"/>
        <family val="2"/>
      </rPr>
      <t>(e)</t>
    </r>
  </si>
  <si>
    <t>(P205 and K20) Grain vs. Silage</t>
  </si>
  <si>
    <r>
      <rPr>
        <b/>
        <sz val="16"/>
        <rFont val="Arial"/>
        <family val="2"/>
      </rPr>
      <t xml:space="preserve">Harvest and Storage Loss </t>
    </r>
    <r>
      <rPr>
        <b/>
        <sz val="16"/>
        <color indexed="10"/>
        <rFont val="Arial"/>
        <family val="2"/>
      </rPr>
      <t xml:space="preserve">(f)     </t>
    </r>
  </si>
  <si>
    <r>
      <rPr>
        <b/>
        <sz val="16"/>
        <rFont val="Arial"/>
        <family val="2"/>
      </rPr>
      <t xml:space="preserve">Harvest and Storage Loss </t>
    </r>
    <r>
      <rPr>
        <b/>
        <sz val="16"/>
        <color indexed="10"/>
        <rFont val="Arial"/>
        <family val="2"/>
      </rPr>
      <t xml:space="preserve">(f)  </t>
    </r>
    <r>
      <rPr>
        <sz val="16"/>
        <color indexed="10"/>
        <rFont val="Arial"/>
        <family val="2"/>
      </rPr>
      <t xml:space="preserve">   </t>
    </r>
  </si>
  <si>
    <t xml:space="preserve">     (Gross Value of Crop - Grain Harvest Costs and plus Silage Harvest if applicable)</t>
  </si>
  <si>
    <t>Grain Harvest and Nutrient Removal Cost</t>
  </si>
  <si>
    <t>Toal Silage Harvest &amp; Storage Cost (if applicable)</t>
  </si>
  <si>
    <t>August 2007  (Updated Nov 2009, Sept 2014)</t>
  </si>
  <si>
    <t>Ryan Sterry: UW-Extension Ag Agent - St. Croix County</t>
  </si>
  <si>
    <t>Lee Milligan: UW-Extension, Former Ag Agent - St. Croix County</t>
  </si>
  <si>
    <t>Thank you to Bill Halfman, UW-Extension Ag Agent - Monroe County,</t>
  </si>
  <si>
    <t>for the addition of the moisture adjustment / pricing tab</t>
  </si>
  <si>
    <t>New for 2014, a third tab has been added for adjusting price by moisture.</t>
  </si>
  <si>
    <t>Compliments of Bill Halfman, UW-Extension Monroe County</t>
  </si>
  <si>
    <t xml:space="preserve">Most corn silage standards start with the assumption of 65% moisture.  </t>
  </si>
  <si>
    <t>This quick to use spreadsheet adjusts prices for moistures other than 65%.</t>
  </si>
  <si>
    <t>To use, enter your base price in the yellow cell (B14)</t>
  </si>
  <si>
    <t>(        )</t>
  </si>
  <si>
    <t>Difference in Nutrient Removal (added to minimum value)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</si>
</sst>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4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16"/>
      <name val="Arial"/>
      <family val="2"/>
    </font>
    <font>
      <sz val="10"/>
      <color indexed="8"/>
      <name val="Arial"/>
      <family val="2"/>
    </font>
    <font>
      <sz val="10"/>
      <color indexed="60"/>
      <name val="Arial"/>
      <family val="2"/>
    </font>
    <font>
      <b/>
      <sz val="10"/>
      <color indexed="1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58"/>
      <name val="Arial"/>
      <family val="2"/>
    </font>
    <font>
      <sz val="12"/>
      <name val="Arial Narrow"/>
      <family val="2"/>
    </font>
    <font>
      <b/>
      <sz val="12"/>
      <color indexed="16"/>
      <name val="Arial"/>
      <family val="2"/>
    </font>
    <font>
      <b/>
      <sz val="16"/>
      <name val="Arial"/>
      <family val="2"/>
    </font>
    <font>
      <b/>
      <sz val="12"/>
      <color indexed="18"/>
      <name val="Arial"/>
      <family val="2"/>
    </font>
    <font>
      <sz val="14"/>
      <name val="Arial Narrow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b/>
      <i/>
      <sz val="14"/>
      <name val="Arial Narrow"/>
      <family val="2"/>
    </font>
    <font>
      <sz val="16"/>
      <name val="Arial"/>
      <family val="2"/>
    </font>
    <font>
      <b/>
      <sz val="16"/>
      <color indexed="59"/>
      <name val="Arial"/>
      <family val="2"/>
    </font>
    <font>
      <b/>
      <sz val="16"/>
      <color indexed="10"/>
      <name val="Arial"/>
      <family val="2"/>
    </font>
    <font>
      <b/>
      <sz val="16"/>
      <color indexed="8"/>
      <name val="Arial"/>
      <family val="2"/>
    </font>
    <font>
      <sz val="16"/>
      <color indexed="10"/>
      <name val="Arial"/>
      <family val="2"/>
    </font>
    <font>
      <sz val="16"/>
      <color indexed="10"/>
      <name val="Arial"/>
      <family val="2"/>
    </font>
    <font>
      <sz val="16"/>
      <color indexed="8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sz val="16"/>
      <color theme="1"/>
      <name val="Arial"/>
      <family val="2"/>
    </font>
    <font>
      <sz val="16"/>
      <color rgb="FFFF0000"/>
      <name val="Arial"/>
      <family val="2"/>
    </font>
    <font>
      <sz val="16"/>
      <color theme="0"/>
      <name val="Arial"/>
      <family val="2"/>
    </font>
    <font>
      <b/>
      <sz val="16"/>
      <color rgb="FFFF0000"/>
      <name val="Arial Rounded MT Bold"/>
      <family val="2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16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EEBA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43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7" fillId="0" borderId="0"/>
    <xf numFmtId="0" fontId="35" fillId="0" borderId="0"/>
  </cellStyleXfs>
  <cellXfs count="168">
    <xf numFmtId="0" fontId="0" fillId="0" borderId="0" xfId="0"/>
    <xf numFmtId="10" fontId="0" fillId="0" borderId="0" xfId="0" applyNumberFormat="1"/>
    <xf numFmtId="0" fontId="7" fillId="0" borderId="0" xfId="0" applyFont="1" applyFill="1"/>
    <xf numFmtId="0" fontId="0" fillId="2" borderId="0" xfId="0" applyFill="1" applyProtection="1">
      <protection hidden="1"/>
    </xf>
    <xf numFmtId="0" fontId="0" fillId="2" borderId="0" xfId="0" applyFill="1" applyProtection="1"/>
    <xf numFmtId="10" fontId="0" fillId="2" borderId="0" xfId="0" applyNumberFormat="1" applyFill="1" applyProtection="1">
      <protection hidden="1"/>
    </xf>
    <xf numFmtId="0" fontId="3" fillId="2" borderId="0" xfId="0" applyFont="1" applyFill="1" applyProtection="1"/>
    <xf numFmtId="0" fontId="9" fillId="2" borderId="0" xfId="0" applyFont="1" applyFill="1" applyProtection="1"/>
    <xf numFmtId="0" fontId="8" fillId="2" borderId="0" xfId="0" applyFont="1" applyFill="1" applyProtection="1"/>
    <xf numFmtId="164" fontId="8" fillId="2" borderId="0" xfId="0" applyNumberFormat="1" applyFont="1" applyFill="1" applyProtection="1"/>
    <xf numFmtId="0" fontId="19" fillId="2" borderId="0" xfId="0" applyFont="1" applyFill="1" applyProtection="1"/>
    <xf numFmtId="0" fontId="18" fillId="2" borderId="0" xfId="0" applyFont="1" applyFill="1" applyProtection="1"/>
    <xf numFmtId="0" fontId="10" fillId="2" borderId="0" xfId="0" applyFont="1" applyFill="1" applyProtection="1"/>
    <xf numFmtId="0" fontId="11" fillId="2" borderId="0" xfId="0" applyFont="1" applyFill="1" applyProtection="1"/>
    <xf numFmtId="0" fontId="17" fillId="2" borderId="0" xfId="0" applyFont="1" applyFill="1" applyProtection="1"/>
    <xf numFmtId="0" fontId="20" fillId="2" borderId="0" xfId="0" applyFont="1" applyFill="1" applyProtection="1"/>
    <xf numFmtId="0" fontId="21" fillId="2" borderId="0" xfId="0" applyFont="1" applyFill="1" applyProtection="1"/>
    <xf numFmtId="164" fontId="20" fillId="2" borderId="0" xfId="0" applyNumberFormat="1" applyFont="1" applyFill="1" applyProtection="1"/>
    <xf numFmtId="9" fontId="0" fillId="0" borderId="0" xfId="0" quotePrefix="1" applyNumberFormat="1"/>
    <xf numFmtId="0" fontId="0" fillId="0" borderId="0" xfId="0" quotePrefix="1" applyNumberFormat="1"/>
    <xf numFmtId="49" fontId="15" fillId="3" borderId="0" xfId="0" applyNumberFormat="1" applyFont="1" applyFill="1" applyBorder="1" applyAlignment="1">
      <alignment horizontal="center"/>
    </xf>
    <xf numFmtId="0" fontId="0" fillId="3" borderId="0" xfId="0" applyFill="1"/>
    <xf numFmtId="0" fontId="15" fillId="3" borderId="1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left"/>
    </xf>
    <xf numFmtId="0" fontId="14" fillId="3" borderId="2" xfId="0" applyFont="1" applyFill="1" applyBorder="1" applyAlignment="1">
      <alignment horizontal="center"/>
    </xf>
    <xf numFmtId="0" fontId="0" fillId="3" borderId="3" xfId="0" applyFill="1" applyBorder="1"/>
    <xf numFmtId="0" fontId="0" fillId="3" borderId="4" xfId="0" applyFill="1" applyBorder="1"/>
    <xf numFmtId="49" fontId="3" fillId="3" borderId="5" xfId="0" applyNumberFormat="1" applyFont="1" applyFill="1" applyBorder="1" applyAlignment="1">
      <alignment horizontal="center"/>
    </xf>
    <xf numFmtId="0" fontId="0" fillId="3" borderId="0" xfId="0" applyFill="1" applyBorder="1"/>
    <xf numFmtId="0" fontId="0" fillId="3" borderId="6" xfId="0" applyFill="1" applyBorder="1"/>
    <xf numFmtId="49" fontId="13" fillId="3" borderId="5" xfId="0" applyNumberFormat="1" applyFont="1" applyFill="1" applyBorder="1" applyAlignment="1">
      <alignment horizontal="center"/>
    </xf>
    <xf numFmtId="49" fontId="15" fillId="3" borderId="5" xfId="0" applyNumberFormat="1" applyFont="1" applyFill="1" applyBorder="1" applyAlignment="1">
      <alignment horizontal="center"/>
    </xf>
    <xf numFmtId="0" fontId="0" fillId="3" borderId="7" xfId="0" applyFill="1" applyBorder="1"/>
    <xf numFmtId="0" fontId="0" fillId="3" borderId="8" xfId="0" applyFill="1" applyBorder="1"/>
    <xf numFmtId="0" fontId="16" fillId="3" borderId="0" xfId="0" applyFont="1" applyFill="1"/>
    <xf numFmtId="0" fontId="6" fillId="3" borderId="0" xfId="0" applyFont="1" applyFill="1" applyBorder="1"/>
    <xf numFmtId="0" fontId="12" fillId="3" borderId="0" xfId="0" applyFont="1" applyFill="1"/>
    <xf numFmtId="0" fontId="3" fillId="3" borderId="0" xfId="0" applyFont="1" applyFill="1" applyAlignment="1">
      <alignment horizontal="center"/>
    </xf>
    <xf numFmtId="0" fontId="4" fillId="3" borderId="0" xfId="0" applyFont="1" applyFill="1"/>
    <xf numFmtId="0" fontId="0" fillId="3" borderId="0" xfId="0" applyFill="1" applyProtection="1">
      <protection locked="0"/>
    </xf>
    <xf numFmtId="9" fontId="0" fillId="3" borderId="0" xfId="0" applyNumberFormat="1" applyFill="1" applyProtection="1">
      <protection locked="0"/>
    </xf>
    <xf numFmtId="2" fontId="0" fillId="3" borderId="0" xfId="0" applyNumberFormat="1" applyFill="1"/>
    <xf numFmtId="0" fontId="22" fillId="2" borderId="0" xfId="0" applyFont="1" applyFill="1" applyProtection="1"/>
    <xf numFmtId="0" fontId="23" fillId="2" borderId="0" xfId="0" applyFont="1" applyFill="1" applyProtection="1"/>
    <xf numFmtId="0" fontId="24" fillId="3" borderId="0" xfId="0" applyFont="1" applyFill="1"/>
    <xf numFmtId="0" fontId="0" fillId="2" borderId="0" xfId="0" applyFill="1" applyProtection="1">
      <protection locked="0"/>
    </xf>
    <xf numFmtId="0" fontId="37" fillId="2" borderId="0" xfId="0" applyFont="1" applyFill="1" applyProtection="1"/>
    <xf numFmtId="0" fontId="17" fillId="0" borderId="9" xfId="0" applyFont="1" applyFill="1" applyBorder="1" applyProtection="1"/>
    <xf numFmtId="10" fontId="17" fillId="0" borderId="9" xfId="0" applyNumberFormat="1" applyFont="1" applyFill="1" applyBorder="1" applyProtection="1"/>
    <xf numFmtId="0" fontId="38" fillId="2" borderId="0" xfId="0" applyFont="1" applyFill="1" applyProtection="1"/>
    <xf numFmtId="0" fontId="14" fillId="2" borderId="2" xfId="0" applyFont="1" applyFill="1" applyBorder="1" applyAlignment="1" applyProtection="1">
      <alignment horizontal="left"/>
    </xf>
    <xf numFmtId="0" fontId="25" fillId="2" borderId="3" xfId="0" applyFont="1" applyFill="1" applyBorder="1" applyProtection="1"/>
    <xf numFmtId="0" fontId="25" fillId="2" borderId="4" xfId="0" applyFont="1" applyFill="1" applyBorder="1" applyProtection="1"/>
    <xf numFmtId="0" fontId="25" fillId="2" borderId="0" xfId="0" applyFont="1" applyFill="1" applyProtection="1"/>
    <xf numFmtId="0" fontId="26" fillId="2" borderId="5" xfId="0" applyFont="1" applyFill="1" applyBorder="1" applyAlignment="1" applyProtection="1">
      <alignment horizontal="left"/>
    </xf>
    <xf numFmtId="0" fontId="25" fillId="2" borderId="0" xfId="0" applyFont="1" applyFill="1" applyBorder="1" applyProtection="1"/>
    <xf numFmtId="0" fontId="25" fillId="5" borderId="0" xfId="0" applyFont="1" applyFill="1" applyBorder="1" applyProtection="1"/>
    <xf numFmtId="0" fontId="25" fillId="2" borderId="6" xfId="0" applyFont="1" applyFill="1" applyBorder="1" applyProtection="1"/>
    <xf numFmtId="44" fontId="39" fillId="6" borderId="0" xfId="4" applyFont="1" applyFill="1" applyAlignment="1">
      <alignment horizontal="center"/>
    </xf>
    <xf numFmtId="0" fontId="25" fillId="6" borderId="0" xfId="0" applyFont="1" applyFill="1" applyAlignment="1">
      <alignment horizontal="center"/>
    </xf>
    <xf numFmtId="0" fontId="27" fillId="2" borderId="5" xfId="0" applyFont="1" applyFill="1" applyBorder="1" applyAlignment="1" applyProtection="1">
      <alignment horizontal="left"/>
    </xf>
    <xf numFmtId="0" fontId="28" fillId="2" borderId="10" xfId="0" applyFont="1" applyFill="1" applyBorder="1" applyAlignment="1" applyProtection="1">
      <alignment horizontal="left"/>
    </xf>
    <xf numFmtId="0" fontId="25" fillId="2" borderId="7" xfId="0" applyFont="1" applyFill="1" applyBorder="1" applyProtection="1"/>
    <xf numFmtId="0" fontId="25" fillId="2" borderId="8" xfId="0" applyFont="1" applyFill="1" applyBorder="1" applyProtection="1"/>
    <xf numFmtId="0" fontId="14" fillId="2" borderId="0" xfId="0" applyFont="1" applyFill="1" applyProtection="1"/>
    <xf numFmtId="0" fontId="14" fillId="2" borderId="0" xfId="0" applyFont="1" applyFill="1" applyBorder="1" applyProtection="1"/>
    <xf numFmtId="0" fontId="40" fillId="6" borderId="0" xfId="0" applyFont="1" applyFill="1" applyProtection="1"/>
    <xf numFmtId="0" fontId="14" fillId="2" borderId="0" xfId="0" applyFont="1" applyFill="1" applyAlignment="1" applyProtection="1">
      <alignment horizontal="center"/>
    </xf>
    <xf numFmtId="0" fontId="25" fillId="4" borderId="0" xfId="0" applyFont="1" applyFill="1" applyProtection="1">
      <protection locked="0"/>
    </xf>
    <xf numFmtId="0" fontId="25" fillId="2" borderId="0" xfId="0" applyFont="1" applyFill="1" applyAlignment="1" applyProtection="1">
      <alignment horizontal="right"/>
    </xf>
    <xf numFmtId="2" fontId="39" fillId="6" borderId="0" xfId="4" applyNumberFormat="1" applyFont="1" applyFill="1" applyAlignment="1">
      <alignment horizontal="center"/>
    </xf>
    <xf numFmtId="2" fontId="39" fillId="6" borderId="0" xfId="4" applyNumberFormat="1" applyFont="1" applyFill="1" applyBorder="1" applyAlignment="1">
      <alignment horizontal="center"/>
    </xf>
    <xf numFmtId="0" fontId="25" fillId="0" borderId="0" xfId="0" applyFont="1" applyFill="1" applyProtection="1">
      <protection locked="0"/>
    </xf>
    <xf numFmtId="9" fontId="25" fillId="2" borderId="0" xfId="0" applyNumberFormat="1" applyFont="1" applyFill="1" applyProtection="1"/>
    <xf numFmtId="9" fontId="25" fillId="4" borderId="0" xfId="0" applyNumberFormat="1" applyFont="1" applyFill="1" applyBorder="1" applyProtection="1">
      <protection locked="0"/>
    </xf>
    <xf numFmtId="9" fontId="25" fillId="2" borderId="0" xfId="0" applyNumberFormat="1" applyFont="1" applyFill="1" applyBorder="1" applyProtection="1"/>
    <xf numFmtId="0" fontId="25" fillId="2" borderId="0" xfId="0" applyFont="1" applyFill="1" applyBorder="1" applyAlignment="1" applyProtection="1">
      <alignment horizontal="right"/>
    </xf>
    <xf numFmtId="2" fontId="25" fillId="6" borderId="0" xfId="0" applyNumberFormat="1" applyFont="1" applyFill="1" applyAlignment="1">
      <alignment horizontal="center"/>
    </xf>
    <xf numFmtId="2" fontId="25" fillId="6" borderId="0" xfId="0" applyNumberFormat="1" applyFont="1" applyFill="1" applyBorder="1" applyAlignment="1">
      <alignment horizontal="center"/>
    </xf>
    <xf numFmtId="9" fontId="25" fillId="3" borderId="0" xfId="0" applyNumberFormat="1" applyFont="1" applyFill="1" applyBorder="1" applyProtection="1">
      <protection locked="0"/>
    </xf>
    <xf numFmtId="0" fontId="30" fillId="2" borderId="0" xfId="0" applyFont="1" applyFill="1" applyBorder="1" applyAlignment="1" applyProtection="1">
      <alignment horizontal="left"/>
    </xf>
    <xf numFmtId="9" fontId="14" fillId="2" borderId="0" xfId="0" applyNumberFormat="1" applyFont="1" applyFill="1" applyAlignment="1" applyProtection="1">
      <alignment horizontal="center"/>
    </xf>
    <xf numFmtId="0" fontId="14" fillId="2" borderId="0" xfId="0" applyFont="1" applyFill="1" applyBorder="1" applyAlignment="1" applyProtection="1">
      <alignment horizontal="center"/>
    </xf>
    <xf numFmtId="2" fontId="25" fillId="6" borderId="0" xfId="0" applyNumberFormat="1" applyFont="1" applyFill="1" applyAlignment="1" applyProtection="1">
      <alignment horizontal="center"/>
    </xf>
    <xf numFmtId="2" fontId="25" fillId="4" borderId="0" xfId="0" applyNumberFormat="1" applyFont="1" applyFill="1" applyBorder="1" applyProtection="1">
      <protection locked="0"/>
    </xf>
    <xf numFmtId="2" fontId="41" fillId="0" borderId="0" xfId="0" applyNumberFormat="1" applyFont="1" applyFill="1" applyBorder="1" applyProtection="1"/>
    <xf numFmtId="2" fontId="25" fillId="3" borderId="0" xfId="0" applyNumberFormat="1" applyFont="1" applyFill="1" applyBorder="1" applyProtection="1"/>
    <xf numFmtId="2" fontId="25" fillId="6" borderId="0" xfId="0" applyNumberFormat="1" applyFont="1" applyFill="1" applyBorder="1" applyProtection="1">
      <protection locked="0"/>
    </xf>
    <xf numFmtId="2" fontId="31" fillId="6" borderId="0" xfId="0" applyNumberFormat="1" applyFont="1" applyFill="1" applyBorder="1" applyProtection="1"/>
    <xf numFmtId="2" fontId="14" fillId="2" borderId="0" xfId="0" applyNumberFormat="1" applyFont="1" applyFill="1" applyProtection="1"/>
    <xf numFmtId="2" fontId="25" fillId="2" borderId="0" xfId="0" applyNumberFormat="1" applyFont="1" applyFill="1" applyProtection="1"/>
    <xf numFmtId="164" fontId="25" fillId="4" borderId="0" xfId="0" applyNumberFormat="1" applyFont="1" applyFill="1" applyProtection="1">
      <protection locked="0"/>
    </xf>
    <xf numFmtId="0" fontId="14" fillId="2" borderId="0" xfId="0" applyFont="1" applyFill="1" applyAlignment="1" applyProtection="1">
      <alignment horizontal="right"/>
    </xf>
    <xf numFmtId="2" fontId="14" fillId="6" borderId="0" xfId="0" applyNumberFormat="1" applyFont="1" applyFill="1" applyAlignment="1">
      <alignment horizontal="center"/>
    </xf>
    <xf numFmtId="164" fontId="25" fillId="6" borderId="0" xfId="0" applyNumberFormat="1" applyFont="1" applyFill="1" applyProtection="1">
      <protection locked="0"/>
    </xf>
    <xf numFmtId="164" fontId="25" fillId="2" borderId="0" xfId="0" applyNumberFormat="1" applyFont="1" applyFill="1" applyProtection="1"/>
    <xf numFmtId="165" fontId="25" fillId="4" borderId="0" xfId="0" applyNumberFormat="1" applyFont="1" applyFill="1" applyProtection="1">
      <protection locked="0"/>
    </xf>
    <xf numFmtId="0" fontId="25" fillId="6" borderId="0" xfId="0" applyFont="1" applyFill="1" applyProtection="1"/>
    <xf numFmtId="3" fontId="25" fillId="2" borderId="0" xfId="0" applyNumberFormat="1" applyFont="1" applyFill="1" applyProtection="1"/>
    <xf numFmtId="2" fontId="25" fillId="6" borderId="0" xfId="0" applyNumberFormat="1" applyFont="1" applyFill="1" applyProtection="1">
      <protection locked="0"/>
    </xf>
    <xf numFmtId="1" fontId="41" fillId="0" borderId="0" xfId="0" applyNumberFormat="1" applyFont="1" applyFill="1" applyBorder="1" applyProtection="1"/>
    <xf numFmtId="3" fontId="25" fillId="6" borderId="0" xfId="0" applyNumberFormat="1" applyFont="1" applyFill="1" applyProtection="1"/>
    <xf numFmtId="0" fontId="42" fillId="2" borderId="0" xfId="0" applyFont="1" applyFill="1" applyProtection="1"/>
    <xf numFmtId="0" fontId="14" fillId="2" borderId="3" xfId="0" applyFont="1" applyFill="1" applyBorder="1" applyProtection="1"/>
    <xf numFmtId="165" fontId="14" fillId="2" borderId="3" xfId="0" applyNumberFormat="1" applyFont="1" applyFill="1" applyBorder="1" applyProtection="1"/>
    <xf numFmtId="0" fontId="14" fillId="2" borderId="7" xfId="0" applyFont="1" applyFill="1" applyBorder="1" applyProtection="1"/>
    <xf numFmtId="2" fontId="25" fillId="6" borderId="7" xfId="0" applyNumberFormat="1" applyFont="1" applyFill="1" applyBorder="1" applyAlignment="1" applyProtection="1">
      <alignment horizontal="center"/>
    </xf>
    <xf numFmtId="2" fontId="25" fillId="6" borderId="7" xfId="0" applyNumberFormat="1" applyFont="1" applyFill="1" applyBorder="1" applyProtection="1">
      <protection locked="0"/>
    </xf>
    <xf numFmtId="2" fontId="31" fillId="6" borderId="7" xfId="0" applyNumberFormat="1" applyFont="1" applyFill="1" applyBorder="1" applyProtection="1"/>
    <xf numFmtId="0" fontId="14" fillId="2" borderId="10" xfId="0" applyFont="1" applyFill="1" applyBorder="1" applyProtection="1"/>
    <xf numFmtId="2" fontId="25" fillId="3" borderId="7" xfId="0" applyNumberFormat="1" applyFont="1" applyFill="1" applyBorder="1" applyProtection="1"/>
    <xf numFmtId="0" fontId="25" fillId="2" borderId="5" xfId="0" applyFont="1" applyFill="1" applyBorder="1" applyProtection="1"/>
    <xf numFmtId="0" fontId="25" fillId="2" borderId="5" xfId="0" applyFont="1" applyFill="1" applyBorder="1" applyProtection="1">
      <protection locked="0"/>
    </xf>
    <xf numFmtId="9" fontId="25" fillId="3" borderId="5" xfId="0" applyNumberFormat="1" applyFont="1" applyFill="1" applyBorder="1" applyProtection="1">
      <protection locked="0"/>
    </xf>
    <xf numFmtId="9" fontId="25" fillId="4" borderId="0" xfId="0" applyNumberFormat="1" applyFont="1" applyFill="1" applyProtection="1">
      <protection locked="0"/>
    </xf>
    <xf numFmtId="9" fontId="41" fillId="6" borderId="0" xfId="0" applyNumberFormat="1" applyFont="1" applyFill="1" applyProtection="1"/>
    <xf numFmtId="0" fontId="14" fillId="2" borderId="5" xfId="0" applyFont="1" applyFill="1" applyBorder="1" applyProtection="1">
      <protection locked="0"/>
    </xf>
    <xf numFmtId="164" fontId="14" fillId="2" borderId="0" xfId="0" applyNumberFormat="1" applyFont="1" applyFill="1" applyProtection="1"/>
    <xf numFmtId="10" fontId="25" fillId="4" borderId="0" xfId="0" applyNumberFormat="1" applyFont="1" applyFill="1" applyProtection="1">
      <protection locked="0"/>
    </xf>
    <xf numFmtId="10" fontId="25" fillId="6" borderId="0" xfId="0" applyNumberFormat="1" applyFont="1" applyFill="1" applyProtection="1">
      <protection locked="0"/>
    </xf>
    <xf numFmtId="164" fontId="14" fillId="2" borderId="7" xfId="0" applyNumberFormat="1" applyFont="1" applyFill="1" applyBorder="1" applyProtection="1"/>
    <xf numFmtId="164" fontId="25" fillId="2" borderId="7" xfId="0" applyNumberFormat="1" applyFont="1" applyFill="1" applyBorder="1" applyProtection="1"/>
    <xf numFmtId="0" fontId="14" fillId="2" borderId="5" xfId="0" applyFont="1" applyFill="1" applyBorder="1" applyProtection="1"/>
    <xf numFmtId="164" fontId="14" fillId="2" borderId="0" xfId="0" applyNumberFormat="1" applyFont="1" applyFill="1" applyBorder="1" applyProtection="1"/>
    <xf numFmtId="164" fontId="25" fillId="2" borderId="0" xfId="0" applyNumberFormat="1" applyFont="1" applyFill="1" applyBorder="1" applyProtection="1"/>
    <xf numFmtId="164" fontId="14" fillId="2" borderId="6" xfId="0" applyNumberFormat="1" applyFont="1" applyFill="1" applyBorder="1" applyProtection="1"/>
    <xf numFmtId="2" fontId="14" fillId="6" borderId="7" xfId="0" applyNumberFormat="1" applyFont="1" applyFill="1" applyBorder="1" applyAlignment="1" applyProtection="1">
      <alignment horizontal="center"/>
    </xf>
    <xf numFmtId="2" fontId="14" fillId="6" borderId="7" xfId="0" applyNumberFormat="1" applyFont="1" applyFill="1" applyBorder="1" applyProtection="1">
      <protection locked="0"/>
    </xf>
    <xf numFmtId="164" fontId="14" fillId="2" borderId="8" xfId="0" applyNumberFormat="1" applyFont="1" applyFill="1" applyBorder="1" applyProtection="1"/>
    <xf numFmtId="0" fontId="28" fillId="2" borderId="0" xfId="0" applyFont="1" applyFill="1" applyAlignment="1" applyProtection="1"/>
    <xf numFmtId="0" fontId="14" fillId="2" borderId="0" xfId="0" applyFont="1" applyFill="1" applyAlignment="1" applyProtection="1">
      <alignment vertical="top"/>
    </xf>
    <xf numFmtId="6" fontId="25" fillId="4" borderId="0" xfId="0" applyNumberFormat="1" applyFont="1" applyFill="1" applyProtection="1"/>
    <xf numFmtId="44" fontId="25" fillId="2" borderId="0" xfId="2" applyFont="1" applyFill="1" applyProtection="1"/>
    <xf numFmtId="44" fontId="25" fillId="3" borderId="0" xfId="2" applyFont="1" applyFill="1" applyProtection="1">
      <protection locked="0"/>
    </xf>
    <xf numFmtId="2" fontId="25" fillId="0" borderId="0" xfId="0" applyNumberFormat="1" applyFont="1" applyFill="1" applyProtection="1"/>
    <xf numFmtId="165" fontId="14" fillId="2" borderId="0" xfId="0" applyNumberFormat="1" applyFont="1" applyFill="1" applyBorder="1" applyProtection="1"/>
    <xf numFmtId="6" fontId="25" fillId="6" borderId="0" xfId="0" applyNumberFormat="1" applyFont="1" applyFill="1" applyProtection="1"/>
    <xf numFmtId="0" fontId="25" fillId="6" borderId="0" xfId="0" applyFont="1" applyFill="1" applyBorder="1" applyProtection="1"/>
    <xf numFmtId="164" fontId="25" fillId="6" borderId="0" xfId="0" applyNumberFormat="1" applyFont="1" applyFill="1" applyProtection="1"/>
    <xf numFmtId="0" fontId="0" fillId="6" borderId="0" xfId="0" applyFill="1" applyProtection="1"/>
    <xf numFmtId="0" fontId="25" fillId="2" borderId="0" xfId="0" applyFont="1" applyFill="1" applyBorder="1" applyProtection="1">
      <protection locked="0"/>
    </xf>
    <xf numFmtId="164" fontId="14" fillId="6" borderId="7" xfId="0" applyNumberFormat="1" applyFont="1" applyFill="1" applyBorder="1" applyProtection="1">
      <protection locked="0"/>
    </xf>
    <xf numFmtId="0" fontId="33" fillId="0" borderId="0" xfId="0" applyFont="1"/>
    <xf numFmtId="0" fontId="33" fillId="7" borderId="12" xfId="0" applyFont="1" applyFill="1" applyBorder="1"/>
    <xf numFmtId="0" fontId="33" fillId="7" borderId="13" xfId="0" applyFont="1" applyFill="1" applyBorder="1"/>
    <xf numFmtId="0" fontId="33" fillId="7" borderId="14" xfId="0" applyFont="1" applyFill="1" applyBorder="1"/>
    <xf numFmtId="0" fontId="33" fillId="8" borderId="15" xfId="0" applyFont="1" applyFill="1" applyBorder="1"/>
    <xf numFmtId="164" fontId="33" fillId="5" borderId="14" xfId="0" applyNumberFormat="1" applyFont="1" applyFill="1" applyBorder="1" applyAlignment="1" applyProtection="1">
      <alignment horizontal="center"/>
      <protection locked="0"/>
    </xf>
    <xf numFmtId="164" fontId="33" fillId="7" borderId="15" xfId="0" applyNumberFormat="1" applyFont="1" applyFill="1" applyBorder="1" applyAlignment="1">
      <alignment horizontal="center"/>
    </xf>
    <xf numFmtId="9" fontId="33" fillId="8" borderId="16" xfId="0" applyNumberFormat="1" applyFont="1" applyFill="1" applyBorder="1" applyAlignment="1">
      <alignment horizontal="center"/>
    </xf>
    <xf numFmtId="164" fontId="33" fillId="0" borderId="16" xfId="0" applyNumberFormat="1" applyFont="1" applyBorder="1" applyAlignment="1">
      <alignment horizontal="center"/>
    </xf>
    <xf numFmtId="9" fontId="33" fillId="8" borderId="17" xfId="0" applyNumberFormat="1" applyFont="1" applyFill="1" applyBorder="1" applyAlignment="1">
      <alignment horizontal="center"/>
    </xf>
    <xf numFmtId="164" fontId="33" fillId="0" borderId="17" xfId="0" applyNumberFormat="1" applyFont="1" applyBorder="1" applyAlignment="1">
      <alignment horizontal="center"/>
    </xf>
    <xf numFmtId="9" fontId="33" fillId="9" borderId="17" xfId="0" applyNumberFormat="1" applyFont="1" applyFill="1" applyBorder="1" applyAlignment="1">
      <alignment horizontal="center"/>
    </xf>
    <xf numFmtId="164" fontId="33" fillId="9" borderId="17" xfId="0" applyNumberFormat="1" applyFont="1" applyFill="1" applyBorder="1" applyAlignment="1">
      <alignment horizontal="center"/>
    </xf>
    <xf numFmtId="0" fontId="43" fillId="0" borderId="0" xfId="0" applyFont="1"/>
    <xf numFmtId="0" fontId="34" fillId="0" borderId="0" xfId="0" applyFont="1"/>
    <xf numFmtId="0" fontId="44" fillId="0" borderId="0" xfId="0" applyFont="1"/>
    <xf numFmtId="0" fontId="45" fillId="0" borderId="0" xfId="0" applyFont="1"/>
    <xf numFmtId="164" fontId="47" fillId="10" borderId="0" xfId="0" applyNumberFormat="1" applyFont="1" applyFill="1" applyBorder="1" applyProtection="1"/>
    <xf numFmtId="0" fontId="32" fillId="2" borderId="2" xfId="0" applyFont="1" applyFill="1" applyBorder="1" applyAlignment="1" applyProtection="1">
      <alignment horizontal="center"/>
    </xf>
    <xf numFmtId="0" fontId="14" fillId="2" borderId="3" xfId="0" applyFont="1" applyFill="1" applyBorder="1" applyAlignment="1" applyProtection="1">
      <alignment horizontal="center"/>
    </xf>
    <xf numFmtId="0" fontId="14" fillId="2" borderId="4" xfId="0" applyFont="1" applyFill="1" applyBorder="1" applyAlignment="1" applyProtection="1">
      <alignment horizontal="center"/>
    </xf>
    <xf numFmtId="0" fontId="32" fillId="2" borderId="3" xfId="0" applyFont="1" applyFill="1" applyBorder="1" applyAlignment="1" applyProtection="1">
      <alignment horizontal="center"/>
    </xf>
    <xf numFmtId="0" fontId="32" fillId="2" borderId="4" xfId="0" applyFont="1" applyFill="1" applyBorder="1" applyAlignment="1" applyProtection="1">
      <alignment horizontal="center"/>
    </xf>
    <xf numFmtId="3" fontId="25" fillId="5" borderId="0" xfId="0" applyNumberFormat="1" applyFont="1" applyFill="1" applyProtection="1">
      <protection locked="0"/>
    </xf>
    <xf numFmtId="0" fontId="14" fillId="2" borderId="0" xfId="0" applyFont="1" applyFill="1" applyAlignment="1" applyProtection="1">
      <alignment vertical="top"/>
      <protection locked="0"/>
    </xf>
    <xf numFmtId="2" fontId="25" fillId="5" borderId="11" xfId="0" applyNumberFormat="1" applyFont="1" applyFill="1" applyBorder="1" applyAlignment="1" applyProtection="1">
      <alignment horizontal="center"/>
      <protection locked="0"/>
    </xf>
  </cellXfs>
  <cellStyles count="8">
    <cellStyle name="Comma 2" xfId="1"/>
    <cellStyle name="Currency" xfId="2" builtinId="4"/>
    <cellStyle name="Currency 2" xfId="3"/>
    <cellStyle name="Currency 3" xfId="4"/>
    <cellStyle name="Hyperlink 2" xfId="5"/>
    <cellStyle name="Normal" xfId="0" builtinId="0"/>
    <cellStyle name="Normal 2" xfId="6"/>
    <cellStyle name="Normal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5" dropStyle="combo" dx="22" fmlaLink="$B$83" fmlaRange="$A$57:$A$61" noThreeD="1" sel="3" val="0"/>
</file>

<file path=xl/ctrlProps/ctrlProp2.xml><?xml version="1.0" encoding="utf-8"?>
<formControlPr xmlns="http://schemas.microsoft.com/office/spreadsheetml/2009/9/main" objectType="Drop" dropLines="5" dropStyle="combo" dx="22" fmlaLink="$B$98" fmlaRange="$A$72:$A$76" noThreeD="1" sel="5" val="0"/>
</file>

<file path=xl/ctrlProps/ctrlProp3.xml><?xml version="1.0" encoding="utf-8"?>
<formControlPr xmlns="http://schemas.microsoft.com/office/spreadsheetml/2009/9/main" objectType="CheckBox" checked="Checked" fmlaLink="$B$99" lockText="1" noThreeD="1"/>
</file>

<file path=xl/ctrlProps/ctrlProp4.xml><?xml version="1.0" encoding="utf-8"?>
<formControlPr xmlns="http://schemas.microsoft.com/office/spreadsheetml/2009/9/main" objectType="CheckBox" checked="Checked" fmlaLink="$B$100" lockText="1" noThreeD="1"/>
</file>

<file path=xl/ctrlProps/ctrlProp5.xml><?xml version="1.0" encoding="utf-8"?>
<formControlPr xmlns="http://schemas.microsoft.com/office/spreadsheetml/2009/9/main" objectType="CheckBox" checked="Checked" fmlaLink="$B$101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0</xdr:row>
      <xdr:rowOff>104775</xdr:rowOff>
    </xdr:from>
    <xdr:to>
      <xdr:col>3</xdr:col>
      <xdr:colOff>1695450</xdr:colOff>
      <xdr:row>5</xdr:row>
      <xdr:rowOff>19050</xdr:rowOff>
    </xdr:to>
    <xdr:pic>
      <xdr:nvPicPr>
        <xdr:cNvPr id="4166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5900" y="104775"/>
          <a:ext cx="25908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26</xdr:row>
          <xdr:rowOff>28575</xdr:rowOff>
        </xdr:from>
        <xdr:to>
          <xdr:col>5</xdr:col>
          <xdr:colOff>1400175</xdr:colOff>
          <xdr:row>27</xdr:row>
          <xdr:rowOff>47625</xdr:rowOff>
        </xdr:to>
        <xdr:sp macro="" textlink="">
          <xdr:nvSpPr>
            <xdr:cNvPr id="6146" name="DropBox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26</xdr:row>
          <xdr:rowOff>28575</xdr:rowOff>
        </xdr:from>
        <xdr:to>
          <xdr:col>0</xdr:col>
          <xdr:colOff>1400175</xdr:colOff>
          <xdr:row>27</xdr:row>
          <xdr:rowOff>28575</xdr:rowOff>
        </xdr:to>
        <xdr:sp macro="" textlink="">
          <xdr:nvSpPr>
            <xdr:cNvPr id="12289" name="DropBox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oneCellAnchor>
    <xdr:from>
      <xdr:col>0</xdr:col>
      <xdr:colOff>723899</xdr:colOff>
      <xdr:row>21</xdr:row>
      <xdr:rowOff>219075</xdr:rowOff>
    </xdr:from>
    <xdr:ext cx="1411925" cy="298800"/>
    <xdr:sp macro="" textlink="">
      <xdr:nvSpPr>
        <xdr:cNvPr id="18" name="TextBox 17"/>
        <xdr:cNvSpPr txBox="1"/>
      </xdr:nvSpPr>
      <xdr:spPr>
        <a:xfrm>
          <a:off x="723899" y="5638800"/>
          <a:ext cx="1411925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400">
              <a:latin typeface="Arial" panose="020B0604020202020204" pitchFamily="34" charset="0"/>
              <a:cs typeface="Arial" panose="020B0604020202020204" pitchFamily="34" charset="0"/>
            </a:rPr>
            <a:t>Buyer</a:t>
          </a:r>
          <a:r>
            <a:rPr lang="en-US" sz="1400" baseline="0">
              <a:latin typeface="Arial" panose="020B0604020202020204" pitchFamily="34" charset="0"/>
              <a:cs typeface="Arial" panose="020B0604020202020204" pitchFamily="34" charset="0"/>
            </a:rPr>
            <a:t> Pays for:</a:t>
          </a:r>
          <a:endParaRPr 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2181225</xdr:colOff>
          <xdr:row>21</xdr:row>
          <xdr:rowOff>247650</xdr:rowOff>
        </xdr:from>
        <xdr:to>
          <xdr:col>0</xdr:col>
          <xdr:colOff>2867025</xdr:colOff>
          <xdr:row>23</xdr:row>
          <xdr:rowOff>28575</xdr:rowOff>
        </xdr:to>
        <xdr:sp macro="" textlink="">
          <xdr:nvSpPr>
            <xdr:cNvPr id="12302" name="Check Box 14" hidden="1">
              <a:extLst>
                <a:ext uri="{63B3BB69-23CF-44E3-9099-C40C66FF867C}">
                  <a14:compatExt spid="_x0000_s12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Chopping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2867025</xdr:colOff>
          <xdr:row>22</xdr:row>
          <xdr:rowOff>9525</xdr:rowOff>
        </xdr:from>
        <xdr:to>
          <xdr:col>0</xdr:col>
          <xdr:colOff>3552825</xdr:colOff>
          <xdr:row>23</xdr:row>
          <xdr:rowOff>38100</xdr:rowOff>
        </xdr:to>
        <xdr:sp macro="" textlink="">
          <xdr:nvSpPr>
            <xdr:cNvPr id="12303" name="Check Box 15" hidden="1">
              <a:extLst>
                <a:ext uri="{63B3BB69-23CF-44E3-9099-C40C66FF867C}">
                  <a14:compatExt spid="_x0000_s12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Hauling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3448050</xdr:colOff>
          <xdr:row>22</xdr:row>
          <xdr:rowOff>9525</xdr:rowOff>
        </xdr:from>
        <xdr:to>
          <xdr:col>1</xdr:col>
          <xdr:colOff>76200</xdr:colOff>
          <xdr:row>23</xdr:row>
          <xdr:rowOff>38100</xdr:rowOff>
        </xdr:to>
        <xdr:sp macro="" textlink="">
          <xdr:nvSpPr>
            <xdr:cNvPr id="12304" name="Check Box 16" hidden="1">
              <a:extLst>
                <a:ext uri="{63B3BB69-23CF-44E3-9099-C40C66FF867C}">
                  <a14:compatExt spid="_x0000_s12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Storage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2</xdr:col>
      <xdr:colOff>542925</xdr:colOff>
      <xdr:row>4</xdr:row>
      <xdr:rowOff>114300</xdr:rowOff>
    </xdr:to>
    <xdr:pic>
      <xdr:nvPicPr>
        <xdr:cNvPr id="11278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1812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5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36"/>
  <sheetViews>
    <sheetView workbookViewId="0">
      <selection activeCell="F12" sqref="F12"/>
    </sheetView>
  </sheetViews>
  <sheetFormatPr defaultRowHeight="12.75" x14ac:dyDescent="0.2"/>
  <cols>
    <col min="1" max="1" width="76.85546875" style="21" customWidth="1"/>
    <col min="2" max="2" width="9.140625" style="21"/>
    <col min="3" max="3" width="6.85546875" style="21" customWidth="1"/>
    <col min="4" max="4" width="26.42578125" style="21" customWidth="1"/>
    <col min="5" max="16384" width="9.140625" style="21"/>
  </cols>
  <sheetData>
    <row r="1" spans="1:6" ht="20.25" customHeight="1" x14ac:dyDescent="0.3">
      <c r="A1" s="24" t="s">
        <v>5</v>
      </c>
      <c r="B1" s="25"/>
      <c r="C1" s="25"/>
      <c r="D1" s="26"/>
    </row>
    <row r="2" spans="1:6" x14ac:dyDescent="0.2">
      <c r="A2" s="27" t="s">
        <v>129</v>
      </c>
      <c r="B2" s="28"/>
      <c r="C2" s="28"/>
      <c r="D2" s="29"/>
    </row>
    <row r="3" spans="1:6" x14ac:dyDescent="0.2">
      <c r="A3" s="27"/>
      <c r="B3" s="28"/>
      <c r="C3" s="28"/>
      <c r="D3" s="29"/>
    </row>
    <row r="4" spans="1:6" ht="15.75" x14ac:dyDescent="0.25">
      <c r="A4" s="30" t="s">
        <v>38</v>
      </c>
      <c r="B4" s="28"/>
      <c r="C4" s="28"/>
      <c r="D4" s="29"/>
    </row>
    <row r="5" spans="1:6" ht="15.75" x14ac:dyDescent="0.25">
      <c r="A5" s="31" t="s">
        <v>130</v>
      </c>
      <c r="B5" s="28"/>
      <c r="C5" s="28"/>
      <c r="D5" s="29"/>
    </row>
    <row r="6" spans="1:6" ht="15.75" x14ac:dyDescent="0.25">
      <c r="A6" s="31" t="s">
        <v>131</v>
      </c>
      <c r="B6" s="28"/>
      <c r="C6" s="28"/>
      <c r="D6" s="29"/>
    </row>
    <row r="7" spans="1:6" ht="15.75" x14ac:dyDescent="0.25">
      <c r="A7" s="20" t="s">
        <v>40</v>
      </c>
      <c r="B7" s="28"/>
      <c r="C7" s="28"/>
      <c r="D7" s="29"/>
    </row>
    <row r="8" spans="1:6" ht="15.75" x14ac:dyDescent="0.25">
      <c r="A8" s="20"/>
      <c r="B8" s="28"/>
      <c r="C8" s="28"/>
      <c r="D8" s="29"/>
    </row>
    <row r="9" spans="1:6" ht="15.75" x14ac:dyDescent="0.25">
      <c r="A9" s="20" t="s">
        <v>57</v>
      </c>
      <c r="B9" s="28"/>
      <c r="C9" s="28"/>
      <c r="D9" s="29"/>
      <c r="F9" s="28"/>
    </row>
    <row r="10" spans="1:6" ht="15.75" x14ac:dyDescent="0.25">
      <c r="A10" s="20" t="s">
        <v>41</v>
      </c>
      <c r="B10" s="28"/>
      <c r="C10" s="28"/>
      <c r="D10" s="29"/>
      <c r="F10" s="28"/>
    </row>
    <row r="11" spans="1:6" ht="15.75" x14ac:dyDescent="0.25">
      <c r="A11" s="20"/>
      <c r="B11" s="28"/>
      <c r="C11" s="28"/>
      <c r="D11" s="29"/>
      <c r="F11" s="28"/>
    </row>
    <row r="12" spans="1:6" ht="15.75" x14ac:dyDescent="0.25">
      <c r="A12" s="20" t="s">
        <v>132</v>
      </c>
      <c r="B12" s="28"/>
      <c r="C12" s="28"/>
      <c r="D12" s="29"/>
      <c r="F12" s="28"/>
    </row>
    <row r="13" spans="1:6" ht="15.75" x14ac:dyDescent="0.25">
      <c r="A13" s="22" t="s">
        <v>133</v>
      </c>
      <c r="B13" s="32"/>
      <c r="C13" s="32"/>
      <c r="D13" s="33"/>
      <c r="F13" s="28"/>
    </row>
    <row r="14" spans="1:6" x14ac:dyDescent="0.2">
      <c r="A14" s="23"/>
      <c r="B14" s="28"/>
      <c r="C14" s="28"/>
      <c r="D14" s="28"/>
      <c r="F14" s="28"/>
    </row>
    <row r="15" spans="1:6" ht="18" x14ac:dyDescent="0.25">
      <c r="A15" s="34" t="s">
        <v>69</v>
      </c>
      <c r="B15" s="28"/>
      <c r="C15" s="28"/>
      <c r="D15" s="28"/>
      <c r="F15" s="28"/>
    </row>
    <row r="16" spans="1:6" ht="18" x14ac:dyDescent="0.25">
      <c r="A16" s="44" t="s">
        <v>71</v>
      </c>
      <c r="B16" s="28"/>
      <c r="C16" s="28"/>
      <c r="D16" s="28"/>
      <c r="F16" s="28"/>
    </row>
    <row r="17" spans="1:6" ht="18" x14ac:dyDescent="0.25">
      <c r="A17" s="44" t="s">
        <v>134</v>
      </c>
      <c r="B17" s="28"/>
      <c r="C17" s="28"/>
      <c r="D17" s="28"/>
      <c r="F17" s="28"/>
    </row>
    <row r="18" spans="1:6" ht="18" x14ac:dyDescent="0.25">
      <c r="A18" s="44"/>
      <c r="B18" s="28"/>
      <c r="C18" s="28"/>
      <c r="D18" s="28"/>
      <c r="F18" s="28"/>
    </row>
    <row r="19" spans="1:6" ht="18" x14ac:dyDescent="0.25">
      <c r="A19" s="34" t="s">
        <v>70</v>
      </c>
      <c r="B19" s="28"/>
      <c r="C19" s="28"/>
      <c r="D19" s="28"/>
      <c r="F19" s="28"/>
    </row>
    <row r="20" spans="1:6" ht="18" x14ac:dyDescent="0.25">
      <c r="A20" s="34" t="s">
        <v>28</v>
      </c>
      <c r="B20" s="28"/>
      <c r="C20" s="28"/>
      <c r="D20" s="28"/>
      <c r="F20" s="28"/>
    </row>
    <row r="21" spans="1:6" ht="18" x14ac:dyDescent="0.25">
      <c r="A21" s="34"/>
      <c r="B21" s="28"/>
      <c r="C21" s="28"/>
      <c r="D21" s="28"/>
      <c r="F21" s="28"/>
    </row>
    <row r="22" spans="1:6" ht="18" x14ac:dyDescent="0.25">
      <c r="A22" s="34" t="s">
        <v>31</v>
      </c>
      <c r="B22" s="35"/>
      <c r="C22" s="28"/>
      <c r="D22" s="28"/>
    </row>
    <row r="23" spans="1:6" ht="18" x14ac:dyDescent="0.25">
      <c r="A23" s="34" t="s">
        <v>29</v>
      </c>
      <c r="B23" s="35"/>
      <c r="C23" s="28"/>
      <c r="D23" s="28"/>
    </row>
    <row r="24" spans="1:6" ht="18" x14ac:dyDescent="0.25">
      <c r="A24" s="34" t="s">
        <v>30</v>
      </c>
      <c r="B24" s="35"/>
      <c r="C24" s="28"/>
      <c r="D24" s="28"/>
    </row>
    <row r="25" spans="1:6" ht="18" x14ac:dyDescent="0.25">
      <c r="A25" s="34"/>
      <c r="B25" s="35"/>
      <c r="C25" s="28"/>
      <c r="D25" s="28"/>
    </row>
    <row r="26" spans="1:6" ht="18" x14ac:dyDescent="0.25">
      <c r="A26" s="34" t="s">
        <v>34</v>
      </c>
      <c r="B26" s="35"/>
      <c r="C26" s="28"/>
      <c r="D26" s="28"/>
    </row>
    <row r="27" spans="1:6" ht="18" x14ac:dyDescent="0.25">
      <c r="A27" s="34" t="s">
        <v>32</v>
      </c>
      <c r="B27" s="35"/>
      <c r="C27" s="28"/>
      <c r="D27" s="28"/>
    </row>
    <row r="28" spans="1:6" ht="18" x14ac:dyDescent="0.25">
      <c r="A28" s="34" t="s">
        <v>33</v>
      </c>
      <c r="B28" s="35"/>
      <c r="C28" s="28"/>
      <c r="D28" s="28"/>
    </row>
    <row r="29" spans="1:6" ht="18" x14ac:dyDescent="0.25">
      <c r="A29" s="34"/>
      <c r="B29" s="35"/>
      <c r="C29" s="28"/>
      <c r="D29" s="28"/>
    </row>
    <row r="30" spans="1:6" ht="18" x14ac:dyDescent="0.25">
      <c r="A30" s="34" t="s">
        <v>37</v>
      </c>
      <c r="B30" s="28"/>
      <c r="C30" s="28"/>
    </row>
    <row r="31" spans="1:6" ht="18" x14ac:dyDescent="0.25">
      <c r="A31" s="34" t="s">
        <v>35</v>
      </c>
      <c r="B31" s="28"/>
      <c r="C31" s="28"/>
    </row>
    <row r="32" spans="1:6" ht="18" x14ac:dyDescent="0.25">
      <c r="A32" s="34" t="s">
        <v>36</v>
      </c>
      <c r="B32" s="28"/>
      <c r="C32" s="28"/>
    </row>
    <row r="33" spans="1:5" ht="15.75" x14ac:dyDescent="0.25">
      <c r="A33" s="36"/>
      <c r="B33" s="28"/>
      <c r="C33" s="28"/>
      <c r="E33" s="37"/>
    </row>
    <row r="34" spans="1:5" ht="15" x14ac:dyDescent="0.25">
      <c r="A34" s="38"/>
      <c r="C34" s="37"/>
      <c r="D34" s="37"/>
      <c r="E34" s="39"/>
    </row>
    <row r="35" spans="1:5" x14ac:dyDescent="0.2">
      <c r="D35" s="39"/>
      <c r="E35" s="40"/>
    </row>
    <row r="36" spans="1:5" x14ac:dyDescent="0.2">
      <c r="C36" s="40"/>
      <c r="D36" s="40"/>
      <c r="E36" s="41"/>
    </row>
  </sheetData>
  <phoneticPr fontId="2" type="noConversion"/>
  <pageMargins left="0.75" right="0.75" top="1" bottom="1" header="0.5" footer="0.5"/>
  <pageSetup scale="5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89"/>
  <sheetViews>
    <sheetView zoomScale="70" zoomScaleNormal="70" workbookViewId="0">
      <selection activeCell="J11" sqref="J11"/>
    </sheetView>
  </sheetViews>
  <sheetFormatPr defaultRowHeight="12.75" x14ac:dyDescent="0.2"/>
  <cols>
    <col min="1" max="1" width="72.28515625" style="4" customWidth="1"/>
    <col min="2" max="2" width="10.5703125" style="4" customWidth="1"/>
    <col min="3" max="3" width="20" style="4" customWidth="1"/>
    <col min="4" max="4" width="16.28515625" style="4" customWidth="1"/>
    <col min="5" max="5" width="10.85546875" style="4" customWidth="1"/>
    <col min="6" max="6" width="40.85546875" style="4" customWidth="1"/>
    <col min="7" max="7" width="15.85546875" style="4" customWidth="1"/>
    <col min="8" max="8" width="14.5703125" style="4" customWidth="1"/>
    <col min="9" max="9" width="15.5703125" style="4" customWidth="1"/>
    <col min="10" max="10" width="13.5703125" style="4" customWidth="1"/>
    <col min="11" max="11" width="35.42578125" style="4" customWidth="1"/>
    <col min="12" max="12" width="7.85546875" style="4" customWidth="1"/>
    <col min="13" max="13" width="8.28515625" style="4" customWidth="1"/>
    <col min="14" max="16384" width="9.140625" style="4"/>
  </cols>
  <sheetData>
    <row r="1" spans="1:16" ht="20.25" x14ac:dyDescent="0.3">
      <c r="A1" s="50" t="s">
        <v>5</v>
      </c>
      <c r="B1" s="51"/>
      <c r="C1" s="51"/>
      <c r="D1" s="52"/>
      <c r="E1" s="53"/>
      <c r="F1" s="53"/>
      <c r="G1" s="53"/>
      <c r="H1" s="53"/>
      <c r="I1" s="53"/>
      <c r="J1" s="53"/>
    </row>
    <row r="2" spans="1:16" ht="20.25" x14ac:dyDescent="0.3">
      <c r="A2" s="54" t="s">
        <v>39</v>
      </c>
      <c r="B2" s="55"/>
      <c r="C2" s="56" t="s">
        <v>107</v>
      </c>
      <c r="D2" s="57"/>
      <c r="E2" s="53"/>
      <c r="F2" s="53"/>
      <c r="G2" s="53"/>
      <c r="H2" s="53"/>
      <c r="I2" s="58" t="s">
        <v>79</v>
      </c>
      <c r="J2" s="59" t="s">
        <v>80</v>
      </c>
    </row>
    <row r="3" spans="1:16" ht="21" thickBot="1" x14ac:dyDescent="0.35">
      <c r="A3" s="60" t="s">
        <v>59</v>
      </c>
      <c r="B3" s="55"/>
      <c r="C3" s="55"/>
      <c r="D3" s="57"/>
      <c r="E3" s="53"/>
      <c r="F3" s="64" t="s">
        <v>108</v>
      </c>
      <c r="G3" s="53"/>
      <c r="H3" s="53"/>
      <c r="I3" s="58" t="s">
        <v>81</v>
      </c>
      <c r="J3" s="58" t="s">
        <v>81</v>
      </c>
    </row>
    <row r="4" spans="1:16" ht="21" thickBot="1" x14ac:dyDescent="0.35">
      <c r="A4" s="61" t="s">
        <v>55</v>
      </c>
      <c r="B4" s="62"/>
      <c r="C4" s="62"/>
      <c r="D4" s="63"/>
      <c r="E4" s="53"/>
      <c r="F4" s="64" t="s">
        <v>123</v>
      </c>
      <c r="G4" s="53"/>
      <c r="H4" s="53"/>
      <c r="I4" s="167">
        <v>0.45</v>
      </c>
      <c r="J4" s="167">
        <v>0.4</v>
      </c>
    </row>
    <row r="5" spans="1:16" ht="20.25" x14ac:dyDescent="0.3">
      <c r="A5" s="65"/>
      <c r="B5" s="55"/>
      <c r="C5" s="55"/>
      <c r="D5" s="53"/>
      <c r="E5" s="53"/>
      <c r="F5" s="66" t="s">
        <v>87</v>
      </c>
      <c r="G5" s="64"/>
      <c r="H5" s="53"/>
      <c r="I5" s="53"/>
      <c r="J5" s="53"/>
    </row>
    <row r="6" spans="1:16" ht="20.25" x14ac:dyDescent="0.3">
      <c r="A6" s="64" t="s">
        <v>64</v>
      </c>
      <c r="B6" s="53"/>
      <c r="C6" s="67"/>
      <c r="D6" s="67"/>
      <c r="E6" s="53"/>
      <c r="F6" s="53"/>
      <c r="G6" s="67" t="s">
        <v>94</v>
      </c>
      <c r="H6" s="67" t="s">
        <v>95</v>
      </c>
      <c r="I6" s="53"/>
      <c r="J6" s="53"/>
    </row>
    <row r="7" spans="1:16" ht="20.25" x14ac:dyDescent="0.3">
      <c r="A7" s="53" t="s">
        <v>67</v>
      </c>
      <c r="B7" s="53"/>
      <c r="C7" s="53"/>
      <c r="D7" s="68">
        <v>150</v>
      </c>
      <c r="E7" s="53"/>
      <c r="F7" s="69" t="s">
        <v>82</v>
      </c>
      <c r="G7" s="70">
        <f>D7</f>
        <v>150</v>
      </c>
      <c r="H7" s="71">
        <f>E10</f>
        <v>20</v>
      </c>
      <c r="I7" s="53"/>
      <c r="J7" s="72"/>
      <c r="L7" s="3"/>
      <c r="M7" s="3"/>
      <c r="N7" s="3"/>
      <c r="O7" s="3"/>
      <c r="P7" s="3"/>
    </row>
    <row r="8" spans="1:16" ht="20.25" x14ac:dyDescent="0.3">
      <c r="A8" s="53" t="s">
        <v>13</v>
      </c>
      <c r="B8" s="53"/>
      <c r="C8" s="73"/>
      <c r="D8" s="74">
        <v>0.35</v>
      </c>
      <c r="E8" s="75"/>
      <c r="F8" s="76" t="s">
        <v>96</v>
      </c>
      <c r="G8" s="77">
        <v>0.38</v>
      </c>
      <c r="H8" s="78">
        <v>3.6</v>
      </c>
      <c r="I8" s="55"/>
      <c r="J8" s="79"/>
      <c r="N8" s="3"/>
      <c r="O8" s="3"/>
      <c r="P8" s="3"/>
    </row>
    <row r="9" spans="1:16" ht="20.25" x14ac:dyDescent="0.3">
      <c r="B9" s="53"/>
      <c r="C9" s="81" t="s">
        <v>65</v>
      </c>
      <c r="D9" s="82" t="s">
        <v>66</v>
      </c>
      <c r="E9" s="53"/>
      <c r="F9" s="76" t="s">
        <v>97</v>
      </c>
      <c r="G9" s="77">
        <v>0.28999999999999998</v>
      </c>
      <c r="H9" s="78">
        <v>8.3000000000000007</v>
      </c>
      <c r="I9" s="55"/>
      <c r="J9" s="79"/>
      <c r="N9" s="3"/>
      <c r="O9" s="3"/>
      <c r="P9" s="3"/>
    </row>
    <row r="10" spans="1:16" ht="20.25" x14ac:dyDescent="0.3">
      <c r="A10" s="53" t="s">
        <v>114</v>
      </c>
      <c r="B10" s="53"/>
      <c r="C10" s="83">
        <f>F76</f>
        <v>19.96762418394761</v>
      </c>
      <c r="D10" s="84">
        <v>20</v>
      </c>
      <c r="E10" s="85">
        <f>IF(D10="",C10,D10)</f>
        <v>20</v>
      </c>
      <c r="F10" s="76" t="s">
        <v>98</v>
      </c>
      <c r="G10" s="77">
        <f>G7*G8*I4</f>
        <v>25.650000000000002</v>
      </c>
      <c r="H10" s="78">
        <f>H7*H8*I4</f>
        <v>32.4</v>
      </c>
      <c r="I10" s="55"/>
      <c r="J10" s="86"/>
      <c r="N10" s="3"/>
      <c r="O10" s="3"/>
      <c r="P10" s="3"/>
    </row>
    <row r="11" spans="1:16" ht="20.25" x14ac:dyDescent="0.3">
      <c r="A11" s="80" t="s">
        <v>115</v>
      </c>
      <c r="B11" s="53"/>
      <c r="C11" s="83"/>
      <c r="D11" s="87"/>
      <c r="E11" s="88"/>
      <c r="F11" s="76" t="s">
        <v>99</v>
      </c>
      <c r="G11" s="77">
        <f>G7*G9*J4</f>
        <v>17.400000000000002</v>
      </c>
      <c r="H11" s="78">
        <f>H7*H9*J4</f>
        <v>66.400000000000006</v>
      </c>
      <c r="I11" s="55"/>
      <c r="J11" s="86"/>
      <c r="K11" s="3"/>
      <c r="L11" s="3"/>
      <c r="M11" s="3"/>
      <c r="N11" s="3"/>
      <c r="O11" s="3"/>
    </row>
    <row r="12" spans="1:16" ht="20.25" x14ac:dyDescent="0.3">
      <c r="A12" s="64" t="s">
        <v>78</v>
      </c>
      <c r="B12" s="53"/>
      <c r="C12" s="53"/>
      <c r="D12" s="89" t="s">
        <v>1</v>
      </c>
      <c r="E12" s="89" t="s">
        <v>0</v>
      </c>
      <c r="F12" s="69" t="s">
        <v>100</v>
      </c>
      <c r="G12" s="77">
        <f>G11+G10</f>
        <v>43.050000000000004</v>
      </c>
      <c r="H12" s="78">
        <f>H11+H10</f>
        <v>98.800000000000011</v>
      </c>
      <c r="I12" s="53"/>
      <c r="J12" s="90"/>
      <c r="K12" s="3"/>
      <c r="L12" s="3"/>
      <c r="M12" s="3"/>
      <c r="N12" s="3"/>
      <c r="O12" s="3"/>
    </row>
    <row r="13" spans="1:16" ht="20.25" x14ac:dyDescent="0.3">
      <c r="A13" s="53" t="s">
        <v>12</v>
      </c>
      <c r="B13" s="53"/>
      <c r="C13" s="53"/>
      <c r="D13" s="91">
        <v>3.25</v>
      </c>
      <c r="E13" s="91">
        <v>3.15</v>
      </c>
      <c r="F13" s="92" t="s">
        <v>83</v>
      </c>
      <c r="G13" s="67"/>
      <c r="H13" s="93">
        <f>H12-G12</f>
        <v>55.750000000000007</v>
      </c>
      <c r="I13" s="53"/>
      <c r="J13" s="53"/>
      <c r="K13" s="3"/>
      <c r="L13" s="3"/>
      <c r="M13" s="3"/>
      <c r="N13" s="3"/>
      <c r="O13" s="3"/>
    </row>
    <row r="14" spans="1:16" ht="20.25" x14ac:dyDescent="0.3">
      <c r="A14" s="53" t="s">
        <v>84</v>
      </c>
      <c r="B14" s="53"/>
      <c r="C14" s="53"/>
      <c r="D14" s="91">
        <v>0</v>
      </c>
      <c r="E14" s="94"/>
      <c r="F14" s="53"/>
      <c r="G14" s="53"/>
      <c r="H14" s="53"/>
      <c r="I14" s="53"/>
      <c r="J14" s="53"/>
      <c r="K14" s="3"/>
      <c r="L14" s="3"/>
      <c r="M14" s="3"/>
      <c r="N14" s="3"/>
      <c r="O14" s="3"/>
    </row>
    <row r="15" spans="1:16" ht="20.25" x14ac:dyDescent="0.3">
      <c r="A15" s="53" t="s">
        <v>85</v>
      </c>
      <c r="B15" s="53"/>
      <c r="C15" s="53"/>
      <c r="D15" s="94"/>
      <c r="E15" s="94"/>
      <c r="F15" s="53"/>
      <c r="G15" s="53"/>
      <c r="H15" s="53"/>
      <c r="I15" s="53"/>
      <c r="J15" s="53"/>
      <c r="K15" s="3"/>
      <c r="L15" s="3"/>
      <c r="M15" s="3"/>
      <c r="N15" s="3"/>
      <c r="O15" s="3"/>
    </row>
    <row r="16" spans="1:16" ht="20.25" x14ac:dyDescent="0.3">
      <c r="A16" s="53" t="s">
        <v>101</v>
      </c>
      <c r="B16" s="53"/>
      <c r="C16" s="53"/>
      <c r="D16" s="95"/>
      <c r="E16" s="96">
        <v>65</v>
      </c>
      <c r="F16" s="53"/>
      <c r="G16" s="53"/>
      <c r="H16" s="53"/>
      <c r="I16" s="53"/>
      <c r="J16" s="97"/>
      <c r="K16" s="3"/>
      <c r="L16" s="3"/>
      <c r="M16" s="3"/>
      <c r="N16" s="5"/>
      <c r="O16" s="3"/>
    </row>
    <row r="17" spans="1:15" ht="20.25" x14ac:dyDescent="0.3">
      <c r="A17" s="53" t="s">
        <v>102</v>
      </c>
      <c r="B17" s="53"/>
      <c r="C17" s="53"/>
      <c r="D17" s="95"/>
      <c r="E17" s="98">
        <f>D7*0.09</f>
        <v>13.5</v>
      </c>
      <c r="F17" s="53"/>
      <c r="G17" s="53"/>
      <c r="H17" s="53"/>
      <c r="I17" s="53"/>
      <c r="J17" s="99"/>
      <c r="K17" s="3"/>
      <c r="L17" s="3"/>
      <c r="M17" s="3"/>
      <c r="N17" s="5"/>
      <c r="O17" s="3"/>
    </row>
    <row r="18" spans="1:15" ht="20.25" x14ac:dyDescent="0.3">
      <c r="A18" s="53" t="s">
        <v>103</v>
      </c>
      <c r="B18" s="53"/>
      <c r="C18" s="53"/>
      <c r="D18" s="95"/>
      <c r="E18" s="165"/>
      <c r="F18" s="100">
        <f>IF(E18="",E17,E18)</f>
        <v>13.5</v>
      </c>
      <c r="G18" s="98"/>
      <c r="H18" s="53"/>
      <c r="I18" s="53"/>
      <c r="J18" s="99"/>
      <c r="K18" s="3"/>
      <c r="L18" s="3"/>
      <c r="M18" s="3"/>
      <c r="N18" s="5"/>
      <c r="O18" s="3"/>
    </row>
    <row r="19" spans="1:15" ht="20.25" x14ac:dyDescent="0.3">
      <c r="A19" s="53" t="s">
        <v>104</v>
      </c>
      <c r="B19" s="53"/>
      <c r="C19" s="53"/>
      <c r="D19" s="95"/>
      <c r="E19" s="101"/>
      <c r="F19" s="102"/>
      <c r="G19" s="98"/>
      <c r="H19" s="53"/>
      <c r="I19" s="53"/>
      <c r="J19" s="99"/>
      <c r="K19" s="3"/>
      <c r="L19" s="3"/>
      <c r="M19" s="3"/>
      <c r="N19" s="5"/>
      <c r="O19" s="3"/>
    </row>
    <row r="20" spans="1:15" ht="20.25" x14ac:dyDescent="0.3">
      <c r="A20" s="103" t="s">
        <v>91</v>
      </c>
      <c r="B20" s="103"/>
      <c r="C20" s="103"/>
      <c r="D20" s="104">
        <f>(D7*D13)-(D7*D14)</f>
        <v>487.5</v>
      </c>
      <c r="E20" s="104">
        <f>((D7-F18)*E13)+E16*(((E10*D8*0.9)/2))</f>
        <v>634.72499999999991</v>
      </c>
      <c r="F20" s="53"/>
      <c r="G20" s="53"/>
      <c r="H20" s="53"/>
      <c r="I20" s="53"/>
      <c r="J20" s="53"/>
    </row>
    <row r="21" spans="1:15" ht="15.75" customHeight="1" x14ac:dyDescent="0.3">
      <c r="A21" s="53"/>
      <c r="B21" s="53"/>
      <c r="C21" s="83"/>
      <c r="D21" s="87"/>
      <c r="E21" s="88"/>
      <c r="F21" s="55"/>
      <c r="G21" s="55"/>
      <c r="H21" s="55"/>
      <c r="I21" s="55"/>
      <c r="J21" s="86"/>
      <c r="K21" s="3"/>
      <c r="L21" s="3"/>
      <c r="M21" s="3"/>
      <c r="N21" s="3"/>
      <c r="O21" s="3"/>
    </row>
    <row r="22" spans="1:15" ht="20.25" x14ac:dyDescent="0.3">
      <c r="A22" s="105" t="s">
        <v>88</v>
      </c>
      <c r="B22" s="62"/>
      <c r="C22" s="106"/>
      <c r="D22" s="107"/>
      <c r="E22" s="108"/>
      <c r="F22" s="109" t="s">
        <v>89</v>
      </c>
      <c r="G22" s="62"/>
      <c r="H22" s="62"/>
      <c r="I22" s="62"/>
      <c r="J22" s="110"/>
      <c r="K22" s="3"/>
      <c r="L22" s="3"/>
      <c r="M22" s="3"/>
      <c r="N22" s="3"/>
      <c r="O22" s="3"/>
    </row>
    <row r="23" spans="1:15" ht="20.25" x14ac:dyDescent="0.3">
      <c r="A23" s="53"/>
      <c r="B23" s="53"/>
      <c r="C23" s="53" t="s">
        <v>72</v>
      </c>
      <c r="D23" s="83" t="s">
        <v>73</v>
      </c>
      <c r="E23" s="87"/>
      <c r="F23" s="111" t="s">
        <v>105</v>
      </c>
      <c r="G23" s="53"/>
      <c r="H23" s="53"/>
      <c r="I23" s="53"/>
      <c r="J23" s="53"/>
      <c r="K23" s="3"/>
      <c r="L23" s="3"/>
      <c r="M23" s="3"/>
      <c r="N23" s="3"/>
      <c r="O23" s="3"/>
    </row>
    <row r="24" spans="1:15" ht="20.25" x14ac:dyDescent="0.3">
      <c r="A24" s="53" t="s">
        <v>75</v>
      </c>
      <c r="B24" s="53"/>
      <c r="C24" s="95">
        <f>D24/D7</f>
        <v>0.23333333333333334</v>
      </c>
      <c r="D24" s="91">
        <v>35</v>
      </c>
      <c r="E24" s="53"/>
      <c r="F24" s="111" t="s">
        <v>16</v>
      </c>
      <c r="G24" s="53"/>
      <c r="H24" s="53"/>
      <c r="I24" s="91">
        <v>61</v>
      </c>
      <c r="J24" s="53"/>
      <c r="K24" s="3"/>
      <c r="L24" s="3"/>
      <c r="M24" s="3"/>
      <c r="N24" s="3"/>
    </row>
    <row r="25" spans="1:15" ht="20.25" x14ac:dyDescent="0.3">
      <c r="A25" s="53" t="s">
        <v>74</v>
      </c>
      <c r="B25" s="53"/>
      <c r="C25" s="91">
        <v>0.1</v>
      </c>
      <c r="D25" s="95">
        <f>C25*D7</f>
        <v>15</v>
      </c>
      <c r="E25" s="95"/>
      <c r="F25" s="111" t="s">
        <v>17</v>
      </c>
      <c r="G25" s="53"/>
      <c r="H25" s="53"/>
      <c r="I25" s="91">
        <v>15</v>
      </c>
      <c r="J25" s="53"/>
      <c r="K25" s="3"/>
      <c r="L25" s="3"/>
      <c r="M25" s="3"/>
      <c r="N25" s="3"/>
    </row>
    <row r="26" spans="1:15" ht="20.25" x14ac:dyDescent="0.3">
      <c r="A26" s="53" t="s">
        <v>76</v>
      </c>
      <c r="B26" s="53"/>
      <c r="C26" s="91">
        <v>0.3</v>
      </c>
      <c r="D26" s="95">
        <f>C26*D7</f>
        <v>45</v>
      </c>
      <c r="E26" s="95"/>
      <c r="F26" s="112" t="s">
        <v>116</v>
      </c>
      <c r="G26" s="129" t="s">
        <v>68</v>
      </c>
      <c r="H26" s="53"/>
      <c r="I26" s="95">
        <f>(E20*H27)</f>
        <v>95.208749999999981</v>
      </c>
      <c r="J26" s="53" t="s">
        <v>113</v>
      </c>
      <c r="K26" s="3"/>
      <c r="L26" s="3"/>
      <c r="M26" s="3"/>
      <c r="N26" s="3"/>
      <c r="O26" s="3"/>
    </row>
    <row r="27" spans="1:15" ht="18.75" customHeight="1" x14ac:dyDescent="0.3">
      <c r="A27" s="53" t="s">
        <v>77</v>
      </c>
      <c r="B27" s="53"/>
      <c r="C27" s="53"/>
      <c r="D27" s="53"/>
      <c r="E27" s="95"/>
      <c r="F27" s="113">
        <f>(IF(B83=1,C57,IF(B83=2,C58,IF(B83=3,C59,IF(B83=4,C60,C61)))))/100</f>
        <v>0.16</v>
      </c>
      <c r="G27" s="114">
        <v>0.15</v>
      </c>
      <c r="H27" s="115">
        <f>IF(G27="",F27,G27)</f>
        <v>0.15</v>
      </c>
      <c r="I27" s="95"/>
      <c r="J27" s="53"/>
      <c r="K27" s="3"/>
      <c r="L27" s="3"/>
      <c r="M27" s="3"/>
      <c r="N27" s="3"/>
      <c r="O27" s="3"/>
    </row>
    <row r="28" spans="1:15" ht="20.25" x14ac:dyDescent="0.3">
      <c r="A28" s="53" t="s">
        <v>3</v>
      </c>
      <c r="B28" s="53"/>
      <c r="C28" s="91">
        <v>0.03</v>
      </c>
      <c r="D28" s="95">
        <f>C28*C29*D7</f>
        <v>0</v>
      </c>
      <c r="E28" s="53" t="s">
        <v>90</v>
      </c>
      <c r="F28" s="116" t="s">
        <v>4</v>
      </c>
      <c r="G28" s="64"/>
      <c r="H28" s="64"/>
      <c r="I28" s="117">
        <f>I24+I25+I26</f>
        <v>171.20874999999998</v>
      </c>
      <c r="J28" s="53"/>
      <c r="K28" s="3"/>
      <c r="L28" s="3"/>
      <c r="M28" s="3"/>
      <c r="N28" s="3"/>
      <c r="O28" s="3"/>
    </row>
    <row r="29" spans="1:15" ht="20.25" x14ac:dyDescent="0.3">
      <c r="A29" s="53" t="s">
        <v>2</v>
      </c>
      <c r="B29" s="53"/>
      <c r="C29" s="68">
        <v>0</v>
      </c>
      <c r="D29" s="53"/>
      <c r="E29" s="53"/>
      <c r="F29" s="111"/>
      <c r="G29" s="55"/>
      <c r="H29" s="55"/>
      <c r="I29" s="86"/>
      <c r="J29" s="53"/>
      <c r="K29" s="3"/>
      <c r="L29" s="3"/>
      <c r="M29" s="3"/>
      <c r="N29" s="3"/>
      <c r="O29" s="3"/>
    </row>
    <row r="30" spans="1:15" ht="20.25" x14ac:dyDescent="0.3">
      <c r="A30" s="53" t="s">
        <v>106</v>
      </c>
      <c r="B30" s="118">
        <v>0.02</v>
      </c>
      <c r="C30" s="53"/>
      <c r="D30" s="95">
        <f>D20*B30</f>
        <v>9.75</v>
      </c>
      <c r="E30" s="95"/>
      <c r="F30" s="111"/>
      <c r="G30" s="53"/>
      <c r="H30" s="53"/>
      <c r="I30" s="53"/>
      <c r="J30" s="53"/>
      <c r="K30" s="3"/>
      <c r="L30" s="3"/>
      <c r="M30" s="3"/>
      <c r="N30" s="3"/>
      <c r="O30" s="3"/>
    </row>
    <row r="31" spans="1:15" ht="20.25" x14ac:dyDescent="0.3">
      <c r="A31" s="64" t="s">
        <v>92</v>
      </c>
      <c r="B31" s="64"/>
      <c r="C31" s="64"/>
      <c r="D31" s="117">
        <f>SUM(D24:D30)</f>
        <v>104.75</v>
      </c>
      <c r="E31" s="95"/>
      <c r="F31" s="111"/>
      <c r="G31" s="53"/>
      <c r="H31" s="53"/>
      <c r="I31" s="53"/>
      <c r="J31" s="53"/>
      <c r="K31" s="3"/>
      <c r="L31" s="3"/>
      <c r="M31" s="3"/>
      <c r="N31" s="3"/>
      <c r="O31" s="3"/>
    </row>
    <row r="32" spans="1:15" ht="20.25" x14ac:dyDescent="0.3">
      <c r="A32" s="64"/>
      <c r="B32" s="64"/>
      <c r="C32" s="64"/>
      <c r="D32" s="117"/>
      <c r="E32" s="95"/>
      <c r="F32" s="55"/>
      <c r="G32" s="53"/>
      <c r="H32" s="53"/>
      <c r="I32" s="53"/>
      <c r="J32" s="53"/>
      <c r="K32" s="3"/>
      <c r="L32" s="3"/>
      <c r="M32" s="3"/>
      <c r="N32" s="3"/>
      <c r="O32" s="3"/>
    </row>
    <row r="33" spans="1:15" ht="20.25" x14ac:dyDescent="0.3">
      <c r="A33" s="64" t="s">
        <v>140</v>
      </c>
      <c r="B33" s="64"/>
      <c r="C33" s="117">
        <f>H13/D7</f>
        <v>0.3716666666666667</v>
      </c>
      <c r="D33" s="117">
        <f>H13</f>
        <v>55.750000000000007</v>
      </c>
      <c r="E33" s="95"/>
      <c r="F33" s="55"/>
      <c r="G33" s="53"/>
      <c r="H33" s="53"/>
      <c r="I33" s="53"/>
      <c r="J33" s="53"/>
      <c r="K33" s="3"/>
      <c r="L33" s="3"/>
      <c r="M33" s="3"/>
      <c r="N33" s="3"/>
      <c r="O33" s="3"/>
    </row>
    <row r="34" spans="1:15" ht="20.25" x14ac:dyDescent="0.3">
      <c r="A34" s="64"/>
      <c r="B34" s="64"/>
      <c r="C34" s="64"/>
      <c r="D34" s="117"/>
      <c r="E34" s="95"/>
      <c r="F34" s="53"/>
      <c r="G34" s="53"/>
      <c r="H34" s="53"/>
      <c r="I34" s="53"/>
      <c r="J34" s="53"/>
      <c r="K34" s="3"/>
      <c r="L34" s="3"/>
      <c r="M34" s="3"/>
      <c r="N34" s="3"/>
      <c r="O34" s="3"/>
    </row>
    <row r="35" spans="1:15" ht="26.25" x14ac:dyDescent="0.4">
      <c r="A35" s="160" t="s">
        <v>93</v>
      </c>
      <c r="B35" s="161"/>
      <c r="C35" s="161"/>
      <c r="D35" s="161"/>
      <c r="E35" s="161"/>
      <c r="F35" s="161"/>
      <c r="G35" s="161"/>
      <c r="H35" s="161"/>
      <c r="I35" s="162"/>
      <c r="J35" s="53"/>
      <c r="K35" s="3"/>
      <c r="L35" s="3"/>
      <c r="M35" s="3"/>
      <c r="N35" s="3"/>
      <c r="O35" s="3"/>
    </row>
    <row r="36" spans="1:15" ht="20.25" x14ac:dyDescent="0.3">
      <c r="A36" s="109" t="s">
        <v>1</v>
      </c>
      <c r="B36" s="105"/>
      <c r="C36" s="105"/>
      <c r="D36" s="120"/>
      <c r="E36" s="121"/>
      <c r="F36" s="109" t="s">
        <v>0</v>
      </c>
      <c r="G36" s="62"/>
      <c r="H36" s="62"/>
      <c r="I36" s="63"/>
      <c r="J36" s="53"/>
      <c r="K36" s="3"/>
      <c r="L36" s="3"/>
      <c r="M36" s="3"/>
      <c r="N36" s="3"/>
      <c r="O36" s="3"/>
    </row>
    <row r="37" spans="1:15" ht="20.25" x14ac:dyDescent="0.3">
      <c r="A37" s="122" t="s">
        <v>117</v>
      </c>
      <c r="B37" s="65"/>
      <c r="C37" s="65"/>
      <c r="D37" s="123">
        <f>D20-D31+H13</f>
        <v>438.5</v>
      </c>
      <c r="E37" s="124"/>
      <c r="F37" s="122" t="s">
        <v>111</v>
      </c>
      <c r="G37" s="65"/>
      <c r="H37" s="65"/>
      <c r="I37" s="125">
        <f>E20-I28</f>
        <v>463.5162499999999</v>
      </c>
      <c r="J37" s="53"/>
      <c r="K37" s="3"/>
      <c r="L37" s="3"/>
      <c r="M37" s="3"/>
      <c r="N37" s="3"/>
      <c r="O37" s="3"/>
    </row>
    <row r="38" spans="1:15" ht="20.25" x14ac:dyDescent="0.3">
      <c r="A38" s="122" t="s">
        <v>42</v>
      </c>
      <c r="B38" s="65"/>
      <c r="C38" s="65"/>
      <c r="D38" s="65"/>
      <c r="E38" s="124"/>
      <c r="F38" s="122" t="s">
        <v>112</v>
      </c>
      <c r="G38" s="65"/>
      <c r="H38" s="65"/>
      <c r="I38" s="125"/>
      <c r="J38" s="53"/>
      <c r="K38" s="3"/>
      <c r="L38" s="3"/>
      <c r="M38" s="3"/>
      <c r="N38" s="3"/>
      <c r="O38" s="3"/>
    </row>
    <row r="39" spans="1:15" ht="20.25" x14ac:dyDescent="0.3">
      <c r="A39" s="122" t="s">
        <v>109</v>
      </c>
      <c r="B39" s="65"/>
      <c r="C39" s="65"/>
      <c r="D39" s="159">
        <f>D37/E10</f>
        <v>21.925000000000001</v>
      </c>
      <c r="E39" s="124"/>
      <c r="F39" s="122" t="s">
        <v>14</v>
      </c>
      <c r="G39" s="65"/>
      <c r="H39" s="65"/>
      <c r="I39" s="159">
        <f>I37/E10</f>
        <v>23.175812499999996</v>
      </c>
      <c r="J39" s="53"/>
      <c r="K39" s="3"/>
      <c r="L39" s="3"/>
      <c r="M39" s="3"/>
      <c r="N39" s="3"/>
      <c r="O39" s="3"/>
    </row>
    <row r="40" spans="1:15" ht="20.25" x14ac:dyDescent="0.3">
      <c r="A40" s="109" t="s">
        <v>110</v>
      </c>
      <c r="B40" s="105"/>
      <c r="C40" s="126"/>
      <c r="D40" s="127">
        <f>D39/D8</f>
        <v>62.642857142857146</v>
      </c>
      <c r="E40" s="108"/>
      <c r="F40" s="109" t="s">
        <v>15</v>
      </c>
      <c r="G40" s="105"/>
      <c r="H40" s="105"/>
      <c r="I40" s="128">
        <f>I39/D8</f>
        <v>66.216607142857129</v>
      </c>
      <c r="J40" s="53"/>
      <c r="K40" s="3"/>
      <c r="L40" s="3"/>
      <c r="M40" s="3"/>
      <c r="N40" s="3"/>
      <c r="O40" s="3"/>
    </row>
    <row r="41" spans="1:15" ht="20.25" x14ac:dyDescent="0.3">
      <c r="A41" s="53"/>
      <c r="B41" s="53"/>
      <c r="C41" s="83"/>
      <c r="D41" s="87"/>
      <c r="E41" s="88"/>
      <c r="F41" s="55"/>
      <c r="G41" s="55"/>
      <c r="H41" s="55"/>
      <c r="I41" s="55"/>
      <c r="J41" s="53"/>
      <c r="K41" s="3"/>
      <c r="L41" s="3"/>
      <c r="M41" s="3"/>
      <c r="N41" s="3"/>
      <c r="O41" s="3"/>
    </row>
    <row r="42" spans="1:15" ht="20.25" x14ac:dyDescent="0.3">
      <c r="A42" s="53"/>
      <c r="B42" s="53"/>
      <c r="C42" s="53"/>
      <c r="D42" s="53"/>
      <c r="E42" s="53"/>
      <c r="F42" s="53"/>
      <c r="G42" s="53"/>
      <c r="H42" s="53"/>
      <c r="I42" s="53"/>
      <c r="J42" s="53"/>
    </row>
    <row r="43" spans="1:15" ht="18" x14ac:dyDescent="0.25">
      <c r="A43" s="10" t="s">
        <v>58</v>
      </c>
      <c r="B43" s="8"/>
      <c r="C43" s="8"/>
      <c r="D43" s="9"/>
      <c r="E43" s="9"/>
    </row>
    <row r="44" spans="1:15" x14ac:dyDescent="0.2">
      <c r="A44" s="7" t="s">
        <v>60</v>
      </c>
      <c r="B44" s="8"/>
      <c r="C44" s="8"/>
      <c r="D44" s="9"/>
      <c r="E44" s="9"/>
    </row>
    <row r="45" spans="1:15" x14ac:dyDescent="0.2">
      <c r="A45" s="11" t="s">
        <v>44</v>
      </c>
      <c r="B45" s="8"/>
      <c r="C45" s="8"/>
      <c r="D45" s="9"/>
      <c r="E45" s="9"/>
    </row>
    <row r="46" spans="1:15" x14ac:dyDescent="0.2">
      <c r="A46" s="7" t="s">
        <v>43</v>
      </c>
      <c r="B46" s="8"/>
      <c r="C46" s="8"/>
      <c r="D46" s="9"/>
      <c r="E46" s="9"/>
    </row>
    <row r="47" spans="1:15" x14ac:dyDescent="0.2">
      <c r="A47" s="7" t="s">
        <v>45</v>
      </c>
      <c r="D47" s="9"/>
      <c r="E47" s="9"/>
    </row>
    <row r="48" spans="1:15" x14ac:dyDescent="0.2">
      <c r="A48" s="11" t="s">
        <v>63</v>
      </c>
      <c r="D48" s="9"/>
      <c r="E48" s="9"/>
    </row>
    <row r="49" spans="1:5" x14ac:dyDescent="0.2">
      <c r="A49" s="42" t="s">
        <v>50</v>
      </c>
      <c r="B49" s="42"/>
      <c r="C49" s="42" t="s">
        <v>49</v>
      </c>
      <c r="D49" s="9"/>
      <c r="E49" s="9"/>
    </row>
    <row r="50" spans="1:5" x14ac:dyDescent="0.2">
      <c r="A50" s="4" t="s">
        <v>46</v>
      </c>
      <c r="C50" s="4" t="s">
        <v>51</v>
      </c>
      <c r="D50" s="9"/>
      <c r="E50" s="9"/>
    </row>
    <row r="51" spans="1:5" x14ac:dyDescent="0.2">
      <c r="A51" s="4" t="s">
        <v>47</v>
      </c>
      <c r="C51" s="4" t="s">
        <v>52</v>
      </c>
      <c r="D51" s="9"/>
      <c r="E51" s="9"/>
    </row>
    <row r="52" spans="1:5" x14ac:dyDescent="0.2">
      <c r="A52" s="4" t="s">
        <v>48</v>
      </c>
      <c r="C52" s="4" t="s">
        <v>53</v>
      </c>
      <c r="D52" s="9"/>
      <c r="E52" s="9"/>
    </row>
    <row r="53" spans="1:5" x14ac:dyDescent="0.2">
      <c r="A53" s="7" t="s">
        <v>54</v>
      </c>
      <c r="D53" s="9"/>
      <c r="E53" s="9"/>
    </row>
    <row r="54" spans="1:5" x14ac:dyDescent="0.2">
      <c r="A54" s="7" t="s">
        <v>62</v>
      </c>
      <c r="D54" s="9"/>
      <c r="E54" s="9"/>
    </row>
    <row r="55" spans="1:5" x14ac:dyDescent="0.2">
      <c r="A55" s="7" t="s">
        <v>61</v>
      </c>
      <c r="D55" s="9"/>
      <c r="E55" s="9"/>
    </row>
    <row r="56" spans="1:5" x14ac:dyDescent="0.2">
      <c r="A56" s="42" t="s">
        <v>19</v>
      </c>
      <c r="B56" s="42"/>
      <c r="C56" s="42" t="s">
        <v>20</v>
      </c>
      <c r="D56" s="9"/>
      <c r="E56" s="9"/>
    </row>
    <row r="57" spans="1:5" x14ac:dyDescent="0.2">
      <c r="A57" s="45" t="s">
        <v>18</v>
      </c>
      <c r="B57" s="45"/>
      <c r="C57" s="45">
        <v>13</v>
      </c>
      <c r="D57" s="9"/>
      <c r="E57" s="9"/>
    </row>
    <row r="58" spans="1:5" x14ac:dyDescent="0.2">
      <c r="A58" s="45" t="s">
        <v>21</v>
      </c>
      <c r="B58" s="45"/>
      <c r="C58" s="45">
        <v>6</v>
      </c>
      <c r="D58" s="9"/>
      <c r="E58" s="9"/>
    </row>
    <row r="59" spans="1:5" x14ac:dyDescent="0.2">
      <c r="A59" s="45" t="s">
        <v>22</v>
      </c>
      <c r="B59" s="45"/>
      <c r="C59" s="45">
        <v>16</v>
      </c>
      <c r="D59" s="9"/>
      <c r="E59" s="9"/>
    </row>
    <row r="60" spans="1:5" x14ac:dyDescent="0.2">
      <c r="A60" s="45" t="s">
        <v>23</v>
      </c>
      <c r="B60" s="45"/>
      <c r="C60" s="45">
        <v>17.5</v>
      </c>
      <c r="D60" s="9"/>
      <c r="E60" s="9"/>
    </row>
    <row r="61" spans="1:5" x14ac:dyDescent="0.2">
      <c r="A61" s="45" t="s">
        <v>24</v>
      </c>
      <c r="B61" s="45"/>
      <c r="C61" s="45">
        <v>11</v>
      </c>
      <c r="D61" s="9"/>
      <c r="E61" s="9"/>
    </row>
    <row r="62" spans="1:5" x14ac:dyDescent="0.2">
      <c r="A62" s="7" t="s">
        <v>56</v>
      </c>
      <c r="D62" s="9"/>
      <c r="E62" s="9"/>
    </row>
    <row r="63" spans="1:5" x14ac:dyDescent="0.2">
      <c r="A63" s="6" t="s">
        <v>25</v>
      </c>
      <c r="D63" s="9"/>
      <c r="E63" s="9"/>
    </row>
    <row r="64" spans="1:5" x14ac:dyDescent="0.2">
      <c r="A64" s="6" t="s">
        <v>27</v>
      </c>
      <c r="D64" s="9"/>
      <c r="E64" s="9"/>
    </row>
    <row r="65" spans="1:7" x14ac:dyDescent="0.2">
      <c r="A65" s="6" t="s">
        <v>26</v>
      </c>
      <c r="D65" s="9"/>
      <c r="E65" s="9"/>
      <c r="F65" s="16"/>
      <c r="G65" s="16"/>
    </row>
    <row r="66" spans="1:7" x14ac:dyDescent="0.2">
      <c r="A66" s="46" t="s">
        <v>86</v>
      </c>
      <c r="D66" s="9"/>
      <c r="E66" s="9"/>
      <c r="F66" s="16"/>
      <c r="G66" s="16"/>
    </row>
    <row r="67" spans="1:7" x14ac:dyDescent="0.2">
      <c r="A67" s="15"/>
      <c r="B67" s="16"/>
      <c r="C67" s="16"/>
      <c r="D67" s="17"/>
      <c r="E67" s="17"/>
    </row>
    <row r="68" spans="1:7" x14ac:dyDescent="0.2">
      <c r="A68" s="15"/>
      <c r="B68" s="16"/>
      <c r="C68" s="16"/>
      <c r="D68" s="17"/>
      <c r="E68" s="17"/>
    </row>
    <row r="69" spans="1:7" x14ac:dyDescent="0.2">
      <c r="A69" s="15"/>
      <c r="D69" s="9"/>
      <c r="E69" s="9"/>
    </row>
    <row r="70" spans="1:7" x14ac:dyDescent="0.2">
      <c r="A70" s="12"/>
    </row>
    <row r="71" spans="1:7" x14ac:dyDescent="0.2">
      <c r="A71" s="12"/>
      <c r="B71" s="47">
        <v>25.548999999999999</v>
      </c>
      <c r="C71" s="47">
        <f>-66.7+41.7*(B71)-1.53*(B71*B71)</f>
        <v>-1.6343530000085593E-2</v>
      </c>
      <c r="D71" s="47"/>
      <c r="E71" s="47"/>
      <c r="F71" s="47"/>
    </row>
    <row r="72" spans="1:7" x14ac:dyDescent="0.2">
      <c r="A72" s="13"/>
      <c r="B72" s="47">
        <v>-66.7</v>
      </c>
      <c r="C72" s="47">
        <f>'Pricing STANDING Corn Silage'!$D$7</f>
        <v>150</v>
      </c>
      <c r="D72" s="47"/>
      <c r="E72" s="47"/>
      <c r="F72" s="47"/>
    </row>
    <row r="73" spans="1:7" x14ac:dyDescent="0.2">
      <c r="A73" s="43"/>
      <c r="B73" s="47">
        <f>B72-C72</f>
        <v>-216.7</v>
      </c>
      <c r="C73" s="47" t="s">
        <v>6</v>
      </c>
      <c r="D73" s="47"/>
      <c r="E73" s="47"/>
      <c r="F73" s="47"/>
    </row>
    <row r="74" spans="1:7" x14ac:dyDescent="0.2">
      <c r="A74" s="43"/>
      <c r="B74" s="47">
        <v>41.7</v>
      </c>
      <c r="C74" s="47" t="s">
        <v>7</v>
      </c>
      <c r="D74" s="47"/>
      <c r="E74" s="47"/>
      <c r="F74" s="47"/>
    </row>
    <row r="75" spans="1:7" x14ac:dyDescent="0.2">
      <c r="A75" s="12"/>
      <c r="B75" s="47">
        <v>-1.53</v>
      </c>
      <c r="C75" s="47" t="s">
        <v>8</v>
      </c>
      <c r="D75" s="47" t="s">
        <v>9</v>
      </c>
      <c r="E75" s="47" t="s">
        <v>11</v>
      </c>
      <c r="F75" s="47" t="s">
        <v>10</v>
      </c>
    </row>
    <row r="76" spans="1:7" x14ac:dyDescent="0.2">
      <c r="A76" s="43"/>
      <c r="B76" s="47"/>
      <c r="C76" s="47"/>
      <c r="D76" s="47">
        <f>(-B74+SQRT(POWER(41.7,2)-4*B75*B73))/(2*B75)</f>
        <v>6.9886684643816634</v>
      </c>
      <c r="E76" s="48">
        <f>'Pricing STANDING Corn Silage'!$D$8</f>
        <v>0.35</v>
      </c>
      <c r="F76" s="47">
        <f>D76/E76</f>
        <v>19.96762418394761</v>
      </c>
    </row>
    <row r="77" spans="1:7" x14ac:dyDescent="0.2">
      <c r="A77" s="43"/>
    </row>
    <row r="78" spans="1:7" x14ac:dyDescent="0.2">
      <c r="A78" s="43"/>
    </row>
    <row r="80" spans="1:7" x14ac:dyDescent="0.2">
      <c r="A80" s="43"/>
    </row>
    <row r="81" spans="1:5" x14ac:dyDescent="0.2">
      <c r="A81" s="14"/>
    </row>
    <row r="82" spans="1:5" x14ac:dyDescent="0.2">
      <c r="A82" s="14"/>
      <c r="B82" s="45"/>
      <c r="C82" s="45"/>
    </row>
    <row r="83" spans="1:5" x14ac:dyDescent="0.2">
      <c r="A83" s="14"/>
      <c r="B83" s="45">
        <v>3</v>
      </c>
      <c r="C83" s="45"/>
    </row>
    <row r="84" spans="1:5" x14ac:dyDescent="0.2">
      <c r="A84" s="14"/>
      <c r="B84" s="45" t="b">
        <v>1</v>
      </c>
      <c r="C84" s="45">
        <f>1*B84</f>
        <v>1</v>
      </c>
    </row>
    <row r="85" spans="1:5" x14ac:dyDescent="0.2">
      <c r="A85" s="14"/>
      <c r="B85" s="45" t="b">
        <v>1</v>
      </c>
      <c r="C85" s="45">
        <f>1*B85</f>
        <v>1</v>
      </c>
    </row>
    <row r="86" spans="1:5" x14ac:dyDescent="0.2">
      <c r="A86" s="14"/>
      <c r="B86" s="45" t="b">
        <v>1</v>
      </c>
      <c r="C86" s="45">
        <f>1*B86</f>
        <v>1</v>
      </c>
    </row>
    <row r="87" spans="1:5" x14ac:dyDescent="0.2">
      <c r="A87" s="14"/>
    </row>
    <row r="89" spans="1:5" x14ac:dyDescent="0.2">
      <c r="A89" s="49"/>
      <c r="B89" s="49"/>
      <c r="C89" s="49"/>
      <c r="D89" s="49"/>
      <c r="E89" s="49"/>
    </row>
  </sheetData>
  <sheetProtection sheet="1" objects="1" scenarios="1"/>
  <mergeCells count="1">
    <mergeCell ref="A35:I35"/>
  </mergeCells>
  <pageMargins left="0.75" right="0.75" top="1" bottom="1" header="0.5" footer="0.5"/>
  <pageSetup scale="55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6" r:id="rId4" name="DropBox">
              <controlPr locked="0" defaultSize="0" autoLine="0" autoPict="0">
                <anchor moveWithCells="1">
                  <from>
                    <xdr:col>5</xdr:col>
                    <xdr:colOff>19050</xdr:colOff>
                    <xdr:row>26</xdr:row>
                    <xdr:rowOff>28575</xdr:rowOff>
                  </from>
                  <to>
                    <xdr:col>5</xdr:col>
                    <xdr:colOff>1400175</xdr:colOff>
                    <xdr:row>27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099"/>
  <sheetViews>
    <sheetView tabSelected="1" zoomScale="70" zoomScaleNormal="70" workbookViewId="0">
      <selection activeCell="F45" sqref="F45"/>
    </sheetView>
  </sheetViews>
  <sheetFormatPr defaultRowHeight="12.75" x14ac:dyDescent="0.2"/>
  <cols>
    <col min="1" max="1" width="76.140625" style="4" customWidth="1"/>
    <col min="2" max="2" width="10.5703125" style="4" customWidth="1"/>
    <col min="3" max="3" width="20" style="4" customWidth="1"/>
    <col min="4" max="4" width="16.28515625" style="4" customWidth="1"/>
    <col min="5" max="5" width="10.85546875" style="4" customWidth="1"/>
    <col min="6" max="6" width="40.85546875" style="4" customWidth="1"/>
    <col min="7" max="7" width="15.85546875" style="4" customWidth="1"/>
    <col min="8" max="8" width="14.5703125" style="4" customWidth="1"/>
    <col min="9" max="9" width="15.5703125" style="4" customWidth="1"/>
    <col min="10" max="10" width="13.5703125" style="4" customWidth="1"/>
    <col min="11" max="11" width="35.42578125" style="4" customWidth="1"/>
    <col min="12" max="12" width="7.85546875" style="4" customWidth="1"/>
    <col min="13" max="13" width="8.28515625" style="4" customWidth="1"/>
    <col min="14" max="16384" width="9.140625" style="4"/>
  </cols>
  <sheetData>
    <row r="1" spans="1:16" ht="20.25" x14ac:dyDescent="0.3">
      <c r="A1" s="50" t="s">
        <v>5</v>
      </c>
      <c r="B1" s="51"/>
      <c r="C1" s="51"/>
      <c r="D1" s="52"/>
      <c r="E1" s="53"/>
      <c r="F1" s="53"/>
      <c r="G1" s="53"/>
      <c r="H1" s="53"/>
      <c r="I1" s="53"/>
      <c r="J1" s="53"/>
    </row>
    <row r="2" spans="1:16" ht="20.25" x14ac:dyDescent="0.3">
      <c r="A2" s="54" t="s">
        <v>39</v>
      </c>
      <c r="B2" s="55"/>
      <c r="C2" s="56" t="s">
        <v>107</v>
      </c>
      <c r="D2" s="57"/>
      <c r="E2" s="53"/>
      <c r="F2" s="53"/>
      <c r="G2" s="53"/>
      <c r="H2" s="53"/>
      <c r="I2" s="58" t="s">
        <v>79</v>
      </c>
      <c r="J2" s="59" t="s">
        <v>80</v>
      </c>
    </row>
    <row r="3" spans="1:16" ht="21" thickBot="1" x14ac:dyDescent="0.35">
      <c r="A3" s="60" t="s">
        <v>59</v>
      </c>
      <c r="B3" s="55"/>
      <c r="C3" s="55"/>
      <c r="D3" s="57"/>
      <c r="E3" s="53"/>
      <c r="F3" s="64" t="s">
        <v>108</v>
      </c>
      <c r="G3" s="53"/>
      <c r="H3" s="53"/>
      <c r="I3" s="58" t="s">
        <v>81</v>
      </c>
      <c r="J3" s="58" t="s">
        <v>81</v>
      </c>
    </row>
    <row r="4" spans="1:16" ht="21" thickBot="1" x14ac:dyDescent="0.35">
      <c r="A4" s="61" t="s">
        <v>55</v>
      </c>
      <c r="B4" s="62"/>
      <c r="C4" s="62"/>
      <c r="D4" s="63"/>
      <c r="E4" s="53"/>
      <c r="F4" s="64" t="s">
        <v>123</v>
      </c>
      <c r="G4" s="53"/>
      <c r="H4" s="53"/>
      <c r="I4" s="167">
        <v>0.45</v>
      </c>
      <c r="J4" s="167">
        <v>0.4</v>
      </c>
    </row>
    <row r="5" spans="1:16" ht="20.25" x14ac:dyDescent="0.3">
      <c r="A5" s="65"/>
      <c r="B5" s="55"/>
      <c r="C5" s="55"/>
      <c r="D5" s="53"/>
      <c r="E5" s="53"/>
      <c r="F5" s="66" t="s">
        <v>87</v>
      </c>
      <c r="G5" s="64"/>
      <c r="H5" s="53"/>
      <c r="I5" s="53"/>
      <c r="J5" s="53"/>
    </row>
    <row r="6" spans="1:16" ht="20.25" x14ac:dyDescent="0.3">
      <c r="A6" s="64" t="s">
        <v>64</v>
      </c>
      <c r="B6" s="53"/>
      <c r="C6" s="67"/>
      <c r="D6" s="67"/>
      <c r="E6" s="53"/>
      <c r="F6" s="53"/>
      <c r="G6" s="67" t="s">
        <v>94</v>
      </c>
      <c r="H6" s="67" t="s">
        <v>95</v>
      </c>
      <c r="I6" s="53"/>
      <c r="J6" s="53"/>
    </row>
    <row r="7" spans="1:16" ht="20.25" x14ac:dyDescent="0.3">
      <c r="A7" s="53" t="s">
        <v>67</v>
      </c>
      <c r="B7" s="53"/>
      <c r="C7" s="53"/>
      <c r="D7" s="68">
        <v>155</v>
      </c>
      <c r="E7" s="53"/>
      <c r="F7" s="69" t="s">
        <v>82</v>
      </c>
      <c r="G7" s="70">
        <f>D7</f>
        <v>155</v>
      </c>
      <c r="H7" s="71">
        <f>E10</f>
        <v>20.684388204226501</v>
      </c>
      <c r="I7" s="53"/>
      <c r="J7" s="72"/>
      <c r="L7" s="3"/>
      <c r="M7" s="3"/>
      <c r="N7" s="3"/>
      <c r="O7" s="3"/>
      <c r="P7" s="3"/>
    </row>
    <row r="8" spans="1:16" ht="20.25" x14ac:dyDescent="0.3">
      <c r="A8" s="53" t="s">
        <v>13</v>
      </c>
      <c r="B8" s="53"/>
      <c r="C8" s="73"/>
      <c r="D8" s="74">
        <v>0.35</v>
      </c>
      <c r="E8" s="75"/>
      <c r="F8" s="76" t="s">
        <v>96</v>
      </c>
      <c r="G8" s="77">
        <v>0.38</v>
      </c>
      <c r="H8" s="78">
        <v>3.6</v>
      </c>
      <c r="I8" s="55"/>
      <c r="J8" s="79"/>
      <c r="N8" s="3"/>
      <c r="O8" s="3"/>
      <c r="P8" s="3"/>
    </row>
    <row r="9" spans="1:16" ht="20.25" x14ac:dyDescent="0.3">
      <c r="B9" s="53"/>
      <c r="C9" s="81" t="s">
        <v>65</v>
      </c>
      <c r="D9" s="82" t="s">
        <v>66</v>
      </c>
      <c r="E9" s="53"/>
      <c r="F9" s="76" t="s">
        <v>97</v>
      </c>
      <c r="G9" s="77">
        <v>0.28999999999999998</v>
      </c>
      <c r="H9" s="78">
        <v>8.3000000000000007</v>
      </c>
      <c r="I9" s="55"/>
      <c r="J9" s="79"/>
      <c r="N9" s="3"/>
      <c r="O9" s="3"/>
      <c r="P9" s="3"/>
    </row>
    <row r="10" spans="1:16" ht="20.25" x14ac:dyDescent="0.3">
      <c r="A10" s="53" t="s">
        <v>114</v>
      </c>
      <c r="B10" s="53"/>
      <c r="C10" s="83">
        <f>F91</f>
        <v>20.684388204226501</v>
      </c>
      <c r="D10" s="84"/>
      <c r="E10" s="85">
        <f>IF(D10="",C10,D10)</f>
        <v>20.684388204226501</v>
      </c>
      <c r="F10" s="76" t="s">
        <v>98</v>
      </c>
      <c r="G10" s="77">
        <f>G7*G8*I4</f>
        <v>26.504999999999999</v>
      </c>
      <c r="H10" s="78">
        <f>H7*H8*I4</f>
        <v>33.508708890846933</v>
      </c>
      <c r="I10" s="55"/>
      <c r="J10" s="86"/>
      <c r="N10" s="3"/>
      <c r="O10" s="3"/>
      <c r="P10" s="3"/>
    </row>
    <row r="11" spans="1:16" ht="20.25" x14ac:dyDescent="0.3">
      <c r="A11" s="80" t="s">
        <v>115</v>
      </c>
      <c r="B11" s="53"/>
      <c r="C11" s="83"/>
      <c r="D11" s="87"/>
      <c r="E11" s="88"/>
      <c r="F11" s="76" t="s">
        <v>99</v>
      </c>
      <c r="G11" s="77">
        <f>G7*G9*J4</f>
        <v>17.98</v>
      </c>
      <c r="H11" s="78">
        <f>H7*H9*J4</f>
        <v>68.672168838031993</v>
      </c>
      <c r="I11" s="55"/>
      <c r="J11" s="86"/>
      <c r="K11" s="3"/>
      <c r="L11" s="3"/>
      <c r="M11" s="3"/>
      <c r="N11" s="3"/>
      <c r="O11" s="3"/>
    </row>
    <row r="12" spans="1:16" ht="20.25" x14ac:dyDescent="0.3">
      <c r="A12" s="64" t="s">
        <v>78</v>
      </c>
      <c r="B12" s="53"/>
      <c r="C12" s="53"/>
      <c r="D12" s="89" t="s">
        <v>1</v>
      </c>
      <c r="E12" s="89" t="s">
        <v>0</v>
      </c>
      <c r="F12" s="69" t="s">
        <v>100</v>
      </c>
      <c r="G12" s="77">
        <f>G11+G10</f>
        <v>44.484999999999999</v>
      </c>
      <c r="H12" s="78">
        <f>H11+H10</f>
        <v>102.18087772887893</v>
      </c>
      <c r="I12" s="53"/>
      <c r="J12" s="90"/>
      <c r="K12" s="3"/>
      <c r="L12" s="3"/>
      <c r="M12" s="3"/>
      <c r="N12" s="3"/>
      <c r="O12" s="3"/>
    </row>
    <row r="13" spans="1:16" ht="20.25" x14ac:dyDescent="0.3">
      <c r="A13" s="53" t="s">
        <v>12</v>
      </c>
      <c r="B13" s="53"/>
      <c r="C13" s="53"/>
      <c r="D13" s="91">
        <v>3</v>
      </c>
      <c r="E13" s="91">
        <v>3.15</v>
      </c>
      <c r="F13" s="92" t="s">
        <v>83</v>
      </c>
      <c r="G13" s="67"/>
      <c r="H13" s="93">
        <f>H12-G12</f>
        <v>57.695877728878926</v>
      </c>
      <c r="I13" s="53"/>
      <c r="J13" s="53"/>
      <c r="K13" s="3"/>
      <c r="L13" s="3"/>
      <c r="M13" s="3"/>
      <c r="N13" s="3"/>
      <c r="O13" s="3"/>
    </row>
    <row r="14" spans="1:16" ht="20.25" x14ac:dyDescent="0.3">
      <c r="A14" s="53" t="s">
        <v>84</v>
      </c>
      <c r="B14" s="53"/>
      <c r="C14" s="53"/>
      <c r="D14" s="91">
        <v>0</v>
      </c>
      <c r="E14" s="94"/>
      <c r="F14" s="53"/>
      <c r="G14" s="53"/>
      <c r="H14" s="53"/>
      <c r="I14" s="53"/>
      <c r="J14" s="53"/>
      <c r="K14" s="3"/>
      <c r="L14" s="3"/>
      <c r="M14" s="3"/>
      <c r="N14" s="3"/>
      <c r="O14" s="3"/>
    </row>
    <row r="15" spans="1:16" ht="20.25" x14ac:dyDescent="0.3">
      <c r="A15" s="53" t="s">
        <v>85</v>
      </c>
      <c r="B15" s="53"/>
      <c r="C15" s="53"/>
      <c r="D15" s="94"/>
      <c r="E15" s="94"/>
      <c r="F15" s="53"/>
      <c r="G15" s="53"/>
      <c r="H15" s="53"/>
      <c r="I15" s="53"/>
      <c r="J15" s="53"/>
      <c r="K15" s="3"/>
      <c r="L15" s="3"/>
      <c r="M15" s="3"/>
      <c r="N15" s="3"/>
      <c r="O15" s="3"/>
    </row>
    <row r="16" spans="1:16" ht="20.25" x14ac:dyDescent="0.3">
      <c r="A16" s="53" t="s">
        <v>101</v>
      </c>
      <c r="B16" s="53"/>
      <c r="C16" s="53"/>
      <c r="D16" s="95"/>
      <c r="E16" s="96">
        <v>65</v>
      </c>
      <c r="F16" s="53"/>
      <c r="G16" s="53"/>
      <c r="H16" s="53"/>
      <c r="I16" s="53"/>
      <c r="J16" s="97"/>
      <c r="K16" s="3"/>
      <c r="L16" s="3"/>
      <c r="M16" s="3"/>
      <c r="N16" s="5"/>
      <c r="O16" s="3"/>
    </row>
    <row r="17" spans="1:15" ht="20.25" x14ac:dyDescent="0.3">
      <c r="A17" s="53" t="s">
        <v>102</v>
      </c>
      <c r="B17" s="53"/>
      <c r="C17" s="53"/>
      <c r="D17" s="95"/>
      <c r="E17" s="98">
        <f>D7*0.09</f>
        <v>13.95</v>
      </c>
      <c r="F17" s="53"/>
      <c r="G17" s="53"/>
      <c r="H17" s="53"/>
      <c r="I17" s="53"/>
      <c r="J17" s="99"/>
      <c r="K17" s="3"/>
      <c r="L17" s="3"/>
      <c r="M17" s="3"/>
      <c r="N17" s="5"/>
      <c r="O17" s="3"/>
    </row>
    <row r="18" spans="1:15" ht="20.25" x14ac:dyDescent="0.3">
      <c r="A18" s="53" t="s">
        <v>103</v>
      </c>
      <c r="B18" s="53"/>
      <c r="C18" s="53"/>
      <c r="D18" s="95"/>
      <c r="E18" s="165"/>
      <c r="F18" s="100">
        <f>IF(E18="",E17,E18)</f>
        <v>13.95</v>
      </c>
      <c r="G18" s="98"/>
      <c r="H18" s="53"/>
      <c r="I18" s="53"/>
      <c r="J18" s="99"/>
      <c r="K18" s="3"/>
      <c r="L18" s="3"/>
      <c r="M18" s="3"/>
      <c r="N18" s="5"/>
      <c r="O18" s="3"/>
    </row>
    <row r="19" spans="1:15" ht="20.25" x14ac:dyDescent="0.3">
      <c r="A19" s="53" t="s">
        <v>104</v>
      </c>
      <c r="B19" s="53"/>
      <c r="C19" s="53"/>
      <c r="D19" s="95"/>
      <c r="E19" s="101"/>
      <c r="F19" s="102"/>
      <c r="G19" s="98"/>
      <c r="H19" s="53"/>
      <c r="I19" s="53"/>
      <c r="J19" s="99"/>
      <c r="K19" s="3"/>
      <c r="L19" s="3"/>
      <c r="M19" s="3"/>
      <c r="N19" s="5"/>
      <c r="O19" s="3"/>
    </row>
    <row r="20" spans="1:15" ht="20.25" x14ac:dyDescent="0.3">
      <c r="A20" s="103" t="s">
        <v>91</v>
      </c>
      <c r="B20" s="103"/>
      <c r="C20" s="103"/>
      <c r="D20" s="104">
        <f>(D7*D13)-(D7*D14)</f>
        <v>465</v>
      </c>
      <c r="E20" s="104">
        <f>((D7-F18)*E13)+E16*(((E10*D8*0.9)/2))</f>
        <v>656.06392424076876</v>
      </c>
      <c r="F20" s="53"/>
      <c r="G20" s="53"/>
      <c r="H20" s="53"/>
      <c r="I20" s="53"/>
      <c r="J20" s="53"/>
    </row>
    <row r="21" spans="1:15" ht="20.25" x14ac:dyDescent="0.3">
      <c r="A21" s="65"/>
      <c r="B21" s="65"/>
      <c r="C21" s="65"/>
      <c r="D21" s="135"/>
      <c r="E21" s="135"/>
      <c r="F21" s="53"/>
      <c r="G21" s="53"/>
      <c r="H21" s="53"/>
      <c r="I21" s="53"/>
      <c r="J21" s="53"/>
    </row>
    <row r="22" spans="1:15" ht="20.25" x14ac:dyDescent="0.3">
      <c r="A22" s="130" t="s">
        <v>122</v>
      </c>
      <c r="B22" s="137"/>
      <c r="C22" s="53"/>
      <c r="D22" s="53"/>
      <c r="E22" s="53"/>
      <c r="F22" s="53"/>
      <c r="G22" s="53"/>
      <c r="H22" s="53"/>
      <c r="I22" s="53"/>
      <c r="J22" s="53"/>
    </row>
    <row r="23" spans="1:15" ht="20.25" x14ac:dyDescent="0.3">
      <c r="A23" s="166"/>
      <c r="B23" s="137"/>
      <c r="C23" s="53"/>
      <c r="D23" s="53"/>
      <c r="E23" s="53"/>
      <c r="F23" s="53"/>
      <c r="G23" s="53"/>
      <c r="H23" s="53"/>
      <c r="I23" s="53"/>
      <c r="J23" s="53"/>
    </row>
    <row r="24" spans="1:15" ht="20.25" x14ac:dyDescent="0.3">
      <c r="A24" s="53" t="s">
        <v>16</v>
      </c>
      <c r="B24" s="137"/>
      <c r="C24" s="131">
        <v>61</v>
      </c>
      <c r="D24" s="132"/>
      <c r="E24" s="132" t="str">
        <f>IF(B154=1,C24,"")</f>
        <v/>
      </c>
      <c r="F24" s="53"/>
      <c r="G24" s="53"/>
      <c r="H24" s="53"/>
      <c r="I24" s="53"/>
      <c r="J24" s="53"/>
    </row>
    <row r="25" spans="1:15" ht="20.25" x14ac:dyDescent="0.3">
      <c r="A25" s="53" t="s">
        <v>17</v>
      </c>
      <c r="B25" s="55"/>
      <c r="C25" s="131">
        <v>15</v>
      </c>
      <c r="D25" s="132"/>
      <c r="E25" s="133" t="str">
        <f>IF(B155=1,C25,"")</f>
        <v/>
      </c>
      <c r="F25" s="53"/>
      <c r="G25" s="53"/>
      <c r="H25" s="53"/>
      <c r="I25" s="53"/>
      <c r="J25" s="53"/>
    </row>
    <row r="26" spans="1:15" ht="20.25" x14ac:dyDescent="0.3">
      <c r="A26" s="116" t="s">
        <v>124</v>
      </c>
      <c r="B26" s="129" t="s">
        <v>68</v>
      </c>
      <c r="C26" s="53"/>
      <c r="D26" s="95">
        <f>(E20*C27)</f>
        <v>72.167031666484561</v>
      </c>
      <c r="E26" s="53" t="s">
        <v>113</v>
      </c>
      <c r="F26" s="53"/>
      <c r="G26" s="53"/>
      <c r="H26" s="53"/>
      <c r="I26" s="53"/>
      <c r="J26" s="53"/>
    </row>
    <row r="27" spans="1:15" ht="20.25" x14ac:dyDescent="0.3">
      <c r="A27" s="113">
        <f>(IF(B98=1,C72,IF(B98=2,C73,IF(B98=3,C74,IF(B98=4,C75,C76)))))/100</f>
        <v>0.11</v>
      </c>
      <c r="B27" s="114"/>
      <c r="C27" s="115">
        <f>IF(B27="",A27,B27)</f>
        <v>0.11</v>
      </c>
      <c r="D27" s="95"/>
      <c r="E27" s="53"/>
      <c r="F27" s="53"/>
      <c r="G27" s="53"/>
      <c r="H27" s="53"/>
      <c r="I27" s="53"/>
      <c r="J27" s="53"/>
    </row>
    <row r="28" spans="1:15" ht="20.25" x14ac:dyDescent="0.3">
      <c r="A28" s="53"/>
      <c r="B28" s="55"/>
      <c r="C28" s="136"/>
      <c r="D28" s="132"/>
      <c r="E28" s="133"/>
      <c r="F28" s="53"/>
      <c r="G28" s="53"/>
      <c r="H28" s="53"/>
      <c r="I28" s="53"/>
      <c r="J28" s="53"/>
    </row>
    <row r="29" spans="1:15" ht="20.25" x14ac:dyDescent="0.3">
      <c r="A29" s="53" t="s">
        <v>4</v>
      </c>
      <c r="B29" s="53"/>
      <c r="C29" s="53"/>
      <c r="D29" s="134">
        <f>SUM(D24:D25)</f>
        <v>0</v>
      </c>
      <c r="E29" s="134">
        <f>SUM(E24:E25)</f>
        <v>0</v>
      </c>
      <c r="F29" s="53"/>
      <c r="G29" s="53"/>
      <c r="H29" s="53"/>
      <c r="I29" s="53"/>
      <c r="J29" s="53"/>
    </row>
    <row r="30" spans="1:15" ht="15.75" customHeight="1" x14ac:dyDescent="0.3">
      <c r="A30" s="53"/>
      <c r="B30" s="53"/>
      <c r="C30" s="83"/>
      <c r="D30" s="87"/>
      <c r="E30" s="88"/>
      <c r="F30" s="55"/>
      <c r="G30" s="55"/>
      <c r="H30" s="55"/>
      <c r="I30" s="55"/>
      <c r="J30" s="86"/>
      <c r="K30" s="3"/>
      <c r="L30" s="3"/>
      <c r="M30" s="3"/>
      <c r="N30" s="3"/>
      <c r="O30" s="3"/>
    </row>
    <row r="31" spans="1:15" ht="20.25" x14ac:dyDescent="0.3">
      <c r="A31" s="105" t="s">
        <v>88</v>
      </c>
      <c r="B31" s="62"/>
      <c r="C31" s="106"/>
      <c r="D31" s="107"/>
      <c r="E31" s="108"/>
      <c r="F31" s="109" t="s">
        <v>89</v>
      </c>
      <c r="G31" s="62"/>
      <c r="H31" s="62"/>
      <c r="I31" s="62"/>
      <c r="J31" s="110"/>
      <c r="K31" s="3"/>
      <c r="L31" s="3"/>
      <c r="M31" s="3"/>
      <c r="N31" s="3"/>
      <c r="O31" s="3"/>
    </row>
    <row r="32" spans="1:15" ht="20.25" x14ac:dyDescent="0.3">
      <c r="A32" s="53"/>
      <c r="B32" s="53"/>
      <c r="C32" s="53" t="s">
        <v>72</v>
      </c>
      <c r="D32" s="83" t="s">
        <v>73</v>
      </c>
      <c r="E32" s="87"/>
      <c r="F32" s="130" t="s">
        <v>122</v>
      </c>
      <c r="G32" s="53"/>
      <c r="H32" s="53"/>
      <c r="I32" s="53"/>
      <c r="J32" s="53"/>
      <c r="K32" s="3"/>
      <c r="L32" s="3"/>
      <c r="M32" s="3"/>
      <c r="N32" s="3"/>
      <c r="O32" s="3"/>
    </row>
    <row r="33" spans="1:15" ht="20.25" x14ac:dyDescent="0.3">
      <c r="A33" s="53" t="s">
        <v>75</v>
      </c>
      <c r="B33" s="53"/>
      <c r="C33" s="95">
        <f>D33/D7</f>
        <v>0.20193548387096774</v>
      </c>
      <c r="D33" s="91">
        <v>31.3</v>
      </c>
      <c r="E33" s="53"/>
      <c r="F33" s="111" t="s">
        <v>16</v>
      </c>
      <c r="G33" s="53"/>
      <c r="H33" s="53"/>
      <c r="I33" s="94">
        <f>IF(C99=1,C24,"")</f>
        <v>61</v>
      </c>
      <c r="J33" s="53"/>
      <c r="K33" s="3"/>
      <c r="L33" s="3"/>
      <c r="M33" s="3"/>
      <c r="N33" s="3"/>
    </row>
    <row r="34" spans="1:15" ht="20.25" x14ac:dyDescent="0.3">
      <c r="A34" s="53" t="s">
        <v>74</v>
      </c>
      <c r="B34" s="53"/>
      <c r="C34" s="91">
        <v>0.18</v>
      </c>
      <c r="D34" s="95">
        <f>C34*D7</f>
        <v>27.9</v>
      </c>
      <c r="E34" s="95"/>
      <c r="F34" s="111" t="s">
        <v>17</v>
      </c>
      <c r="G34" s="53"/>
      <c r="H34" s="53"/>
      <c r="I34" s="94">
        <f>IF(C100=1,C25,"")</f>
        <v>15</v>
      </c>
      <c r="J34" s="53"/>
      <c r="K34" s="3"/>
      <c r="L34" s="3"/>
      <c r="M34" s="3"/>
      <c r="N34" s="3"/>
    </row>
    <row r="35" spans="1:15" ht="20.25" x14ac:dyDescent="0.3">
      <c r="A35" s="53" t="s">
        <v>76</v>
      </c>
      <c r="B35" s="53"/>
      <c r="C35" s="91">
        <v>0.25</v>
      </c>
      <c r="D35" s="95">
        <f>C35*D7</f>
        <v>38.75</v>
      </c>
      <c r="E35" s="95"/>
      <c r="F35" s="112" t="s">
        <v>125</v>
      </c>
      <c r="I35" s="94">
        <f>IF(C101=1,D26,"")</f>
        <v>72.167031666484561</v>
      </c>
      <c r="K35" s="3"/>
      <c r="L35" s="3"/>
      <c r="M35" s="3"/>
      <c r="N35" s="3"/>
      <c r="O35" s="3"/>
    </row>
    <row r="36" spans="1:15" ht="18.75" customHeight="1" x14ac:dyDescent="0.3">
      <c r="A36" s="53" t="s">
        <v>77</v>
      </c>
      <c r="B36" s="53"/>
      <c r="C36" s="53"/>
      <c r="D36" s="53"/>
      <c r="E36" s="95"/>
      <c r="I36" s="49"/>
      <c r="K36" s="3"/>
      <c r="L36" s="3"/>
      <c r="M36" s="3"/>
      <c r="N36" s="3"/>
      <c r="O36" s="3"/>
    </row>
    <row r="37" spans="1:15" ht="20.25" x14ac:dyDescent="0.3">
      <c r="A37" s="53" t="s">
        <v>3</v>
      </c>
      <c r="B37" s="53"/>
      <c r="C37" s="91">
        <v>0.03</v>
      </c>
      <c r="D37" s="95">
        <f>C37*C38*D7</f>
        <v>41.85</v>
      </c>
      <c r="E37" s="53" t="s">
        <v>90</v>
      </c>
      <c r="F37" s="116" t="s">
        <v>4</v>
      </c>
      <c r="G37" s="64"/>
      <c r="H37" s="64"/>
      <c r="I37" s="117">
        <f>SUM(I33:I35)</f>
        <v>148.16703166648455</v>
      </c>
      <c r="J37" s="53"/>
      <c r="K37" s="3"/>
      <c r="L37" s="3"/>
      <c r="M37" s="3"/>
      <c r="N37" s="3"/>
      <c r="O37" s="3"/>
    </row>
    <row r="38" spans="1:15" ht="20.25" x14ac:dyDescent="0.3">
      <c r="A38" s="53" t="s">
        <v>2</v>
      </c>
      <c r="B38" s="53"/>
      <c r="C38" s="68">
        <v>9</v>
      </c>
      <c r="D38" s="53"/>
      <c r="E38" s="53"/>
      <c r="F38" s="111"/>
      <c r="G38" s="55"/>
      <c r="H38" s="55"/>
      <c r="I38" s="86"/>
      <c r="J38" s="53"/>
      <c r="K38" s="3"/>
      <c r="L38" s="3"/>
      <c r="M38" s="3"/>
      <c r="N38" s="3"/>
      <c r="O38" s="3"/>
    </row>
    <row r="39" spans="1:15" ht="20.25" x14ac:dyDescent="0.3">
      <c r="A39" s="53" t="s">
        <v>106</v>
      </c>
      <c r="B39" s="118">
        <v>2.5000000000000001E-2</v>
      </c>
      <c r="C39" s="53"/>
      <c r="D39" s="95">
        <f>D20*B39</f>
        <v>11.625</v>
      </c>
      <c r="E39" s="95"/>
      <c r="F39" s="111"/>
      <c r="G39" s="53"/>
      <c r="H39" s="53"/>
      <c r="I39" s="53"/>
      <c r="J39" s="53"/>
      <c r="K39" s="3"/>
      <c r="L39" s="3"/>
      <c r="M39" s="3"/>
      <c r="N39" s="3"/>
      <c r="O39" s="3"/>
    </row>
    <row r="40" spans="1:15" ht="20.25" x14ac:dyDescent="0.3">
      <c r="A40" s="53" t="s">
        <v>127</v>
      </c>
      <c r="B40" s="119"/>
      <c r="C40" s="95"/>
      <c r="D40" s="95">
        <f>SUM(D33:D39)</f>
        <v>151.42500000000001</v>
      </c>
      <c r="E40" s="95"/>
      <c r="F40" s="111"/>
      <c r="G40" s="53"/>
      <c r="H40" s="53"/>
      <c r="I40" s="53"/>
      <c r="J40" s="53"/>
      <c r="K40" s="3"/>
      <c r="L40" s="3"/>
      <c r="M40" s="3"/>
      <c r="N40" s="3"/>
      <c r="O40" s="3"/>
    </row>
    <row r="41" spans="1:15" ht="20.25" x14ac:dyDescent="0.3">
      <c r="A41" s="53"/>
      <c r="B41" s="119"/>
      <c r="C41" s="95"/>
      <c r="D41" s="95"/>
      <c r="E41" s="95"/>
      <c r="F41" s="111"/>
      <c r="G41" s="53"/>
      <c r="H41" s="53"/>
      <c r="I41" s="53"/>
      <c r="J41" s="53"/>
      <c r="K41" s="3"/>
      <c r="L41" s="3"/>
      <c r="M41" s="3"/>
      <c r="N41" s="3"/>
      <c r="O41" s="3"/>
    </row>
    <row r="42" spans="1:15" ht="20.25" x14ac:dyDescent="0.3">
      <c r="A42" s="130" t="s">
        <v>122</v>
      </c>
      <c r="B42" s="119"/>
      <c r="C42" s="138"/>
      <c r="D42" s="138"/>
      <c r="E42" s="138"/>
      <c r="F42" s="111"/>
      <c r="G42" s="53"/>
      <c r="H42" s="53"/>
      <c r="I42" s="53"/>
      <c r="J42" s="53"/>
      <c r="K42" s="3"/>
      <c r="L42" s="3"/>
      <c r="M42" s="3"/>
      <c r="N42" s="3"/>
      <c r="O42" s="3"/>
    </row>
    <row r="43" spans="1:15" ht="20.25" x14ac:dyDescent="0.3">
      <c r="A43" s="111" t="s">
        <v>16</v>
      </c>
      <c r="B43" s="53"/>
      <c r="C43" s="97"/>
      <c r="D43" s="94" t="str">
        <f>IF(C99=0,C24,"")</f>
        <v/>
      </c>
      <c r="E43" s="138"/>
      <c r="F43" s="111"/>
      <c r="G43" s="53"/>
      <c r="H43" s="53"/>
      <c r="I43" s="53"/>
      <c r="J43" s="53"/>
      <c r="K43" s="3"/>
      <c r="L43" s="3"/>
      <c r="M43" s="3"/>
      <c r="N43" s="3"/>
      <c r="O43" s="3"/>
    </row>
    <row r="44" spans="1:15" ht="20.25" x14ac:dyDescent="0.3">
      <c r="A44" s="111" t="s">
        <v>17</v>
      </c>
      <c r="B44" s="53"/>
      <c r="C44" s="97"/>
      <c r="D44" s="94" t="str">
        <f>IF(C100=0,C25,"")</f>
        <v/>
      </c>
      <c r="E44" s="138"/>
      <c r="F44" s="111"/>
      <c r="G44" s="53"/>
      <c r="H44" s="53"/>
      <c r="I44" s="53"/>
      <c r="J44" s="53"/>
      <c r="K44" s="3"/>
      <c r="L44" s="3"/>
      <c r="M44" s="3"/>
      <c r="N44" s="3"/>
      <c r="O44" s="3"/>
    </row>
    <row r="45" spans="1:15" ht="20.25" x14ac:dyDescent="0.3">
      <c r="A45" s="116" t="s">
        <v>124</v>
      </c>
      <c r="C45" s="139"/>
      <c r="D45" s="94" t="str">
        <f>IF(C101=0,D26,"")</f>
        <v/>
      </c>
      <c r="E45" s="138"/>
      <c r="F45" s="111"/>
      <c r="G45" s="53"/>
      <c r="H45" s="53"/>
      <c r="I45" s="53"/>
      <c r="J45" s="53"/>
      <c r="K45" s="3"/>
      <c r="L45" s="3"/>
      <c r="M45" s="3"/>
      <c r="N45" s="3"/>
      <c r="O45" s="3"/>
    </row>
    <row r="46" spans="1:15" ht="20.25" x14ac:dyDescent="0.3">
      <c r="A46" s="140" t="s">
        <v>128</v>
      </c>
      <c r="C46" s="139"/>
      <c r="D46" s="94">
        <f>SUM(D43:D45)</f>
        <v>0</v>
      </c>
      <c r="E46" s="138"/>
      <c r="F46" s="111"/>
      <c r="G46" s="53"/>
      <c r="H46" s="53"/>
      <c r="I46" s="53"/>
      <c r="J46" s="53"/>
      <c r="K46" s="3"/>
      <c r="L46" s="3"/>
      <c r="M46" s="3"/>
      <c r="N46" s="3"/>
      <c r="O46" s="3"/>
    </row>
    <row r="47" spans="1:15" ht="20.25" x14ac:dyDescent="0.3">
      <c r="A47" s="140"/>
      <c r="C47" s="139"/>
      <c r="D47" s="94"/>
      <c r="E47" s="138"/>
      <c r="F47" s="55"/>
      <c r="G47" s="53"/>
      <c r="H47" s="53"/>
      <c r="I47" s="53"/>
      <c r="J47" s="53"/>
      <c r="K47" s="3"/>
      <c r="L47" s="3"/>
      <c r="M47" s="3"/>
      <c r="N47" s="3"/>
      <c r="O47" s="3"/>
    </row>
    <row r="48" spans="1:15" ht="20.25" x14ac:dyDescent="0.3">
      <c r="A48" s="64" t="s">
        <v>140</v>
      </c>
      <c r="C48" s="138">
        <f>H13/D7</f>
        <v>0.3722314692185737</v>
      </c>
      <c r="D48" s="94">
        <f>H13</f>
        <v>57.695877728878926</v>
      </c>
      <c r="E48" s="138"/>
      <c r="F48" s="55"/>
      <c r="G48" s="53"/>
      <c r="H48" s="53"/>
      <c r="I48" s="53"/>
      <c r="J48" s="53"/>
      <c r="K48" s="3"/>
      <c r="L48" s="3"/>
      <c r="M48" s="3"/>
      <c r="N48" s="3"/>
      <c r="O48" s="3"/>
    </row>
    <row r="49" spans="1:15" ht="20.25" x14ac:dyDescent="0.3">
      <c r="A49" s="64"/>
      <c r="B49" s="64"/>
      <c r="C49" s="64"/>
      <c r="D49" s="117"/>
      <c r="E49" s="95"/>
      <c r="F49" s="55"/>
      <c r="G49" s="53"/>
      <c r="H49" s="53"/>
      <c r="I49" s="53"/>
      <c r="J49" s="53"/>
      <c r="K49" s="3"/>
      <c r="L49" s="3"/>
      <c r="M49" s="3"/>
      <c r="N49" s="3"/>
      <c r="O49" s="3"/>
    </row>
    <row r="50" spans="1:15" ht="26.25" x14ac:dyDescent="0.4">
      <c r="A50" s="160" t="s">
        <v>93</v>
      </c>
      <c r="B50" s="163"/>
      <c r="C50" s="163"/>
      <c r="D50" s="163"/>
      <c r="E50" s="163"/>
      <c r="F50" s="163"/>
      <c r="G50" s="163"/>
      <c r="H50" s="163"/>
      <c r="I50" s="164"/>
      <c r="J50" s="53"/>
      <c r="K50" s="3"/>
      <c r="L50" s="3"/>
      <c r="M50" s="3"/>
      <c r="N50" s="3"/>
      <c r="O50" s="3"/>
    </row>
    <row r="51" spans="1:15" ht="20.25" x14ac:dyDescent="0.3">
      <c r="A51" s="109" t="s">
        <v>1</v>
      </c>
      <c r="B51" s="105"/>
      <c r="C51" s="105"/>
      <c r="D51" s="120"/>
      <c r="E51" s="121"/>
      <c r="F51" s="109" t="s">
        <v>0</v>
      </c>
      <c r="G51" s="62"/>
      <c r="H51" s="62"/>
      <c r="I51" s="63"/>
      <c r="J51" s="53"/>
      <c r="K51" s="3"/>
      <c r="L51" s="3"/>
      <c r="M51" s="3"/>
      <c r="N51" s="3"/>
      <c r="O51" s="3"/>
    </row>
    <row r="52" spans="1:15" ht="20.25" x14ac:dyDescent="0.3">
      <c r="A52" s="122" t="s">
        <v>117</v>
      </c>
      <c r="B52" s="65"/>
      <c r="C52" s="65"/>
      <c r="D52" s="123">
        <f>D20-D40+D46+H13</f>
        <v>371.27087772887893</v>
      </c>
      <c r="E52" s="124"/>
      <c r="F52" s="122" t="s">
        <v>111</v>
      </c>
      <c r="G52" s="65"/>
      <c r="H52" s="65"/>
      <c r="I52" s="125">
        <f>E20-I37</f>
        <v>507.89689257428421</v>
      </c>
      <c r="J52" s="53"/>
      <c r="K52" s="3"/>
      <c r="L52" s="3"/>
      <c r="M52" s="3"/>
      <c r="N52" s="3"/>
      <c r="O52" s="3"/>
    </row>
    <row r="53" spans="1:15" ht="20.25" x14ac:dyDescent="0.3">
      <c r="A53" s="122" t="s">
        <v>126</v>
      </c>
      <c r="B53" s="65"/>
      <c r="C53" s="65"/>
      <c r="D53" s="65"/>
      <c r="E53" s="124"/>
      <c r="F53" s="122" t="s">
        <v>112</v>
      </c>
      <c r="G53" s="65"/>
      <c r="H53" s="65"/>
      <c r="I53" s="125"/>
      <c r="J53" s="53"/>
      <c r="K53" s="3"/>
      <c r="L53" s="3"/>
      <c r="M53" s="3"/>
      <c r="N53" s="3"/>
      <c r="O53" s="3"/>
    </row>
    <row r="54" spans="1:15" ht="20.25" x14ac:dyDescent="0.3">
      <c r="A54" s="122" t="s">
        <v>109</v>
      </c>
      <c r="B54" s="65"/>
      <c r="C54" s="65"/>
      <c r="D54" s="123">
        <f>D52/E10</f>
        <v>17.949328453089855</v>
      </c>
      <c r="E54" s="124"/>
      <c r="F54" s="122" t="s">
        <v>14</v>
      </c>
      <c r="G54" s="65"/>
      <c r="H54" s="65"/>
      <c r="I54" s="125">
        <f>I52/E10</f>
        <v>24.554600675619895</v>
      </c>
      <c r="J54" s="53"/>
      <c r="K54" s="3"/>
      <c r="L54" s="3"/>
      <c r="M54" s="3"/>
      <c r="N54" s="3"/>
      <c r="O54" s="3"/>
    </row>
    <row r="55" spans="1:15" ht="20.25" x14ac:dyDescent="0.3">
      <c r="A55" s="109" t="s">
        <v>110</v>
      </c>
      <c r="B55" s="105"/>
      <c r="C55" s="126"/>
      <c r="D55" s="141">
        <f>D54/D8</f>
        <v>51.283795580256729</v>
      </c>
      <c r="E55" s="108"/>
      <c r="F55" s="109" t="s">
        <v>15</v>
      </c>
      <c r="G55" s="105"/>
      <c r="H55" s="105"/>
      <c r="I55" s="128">
        <f>I54/D8</f>
        <v>70.156001930342555</v>
      </c>
      <c r="J55" s="53"/>
      <c r="K55" s="3"/>
      <c r="L55" s="3"/>
      <c r="M55" s="3"/>
      <c r="N55" s="3"/>
      <c r="O55" s="3"/>
    </row>
    <row r="56" spans="1:15" ht="20.25" x14ac:dyDescent="0.3">
      <c r="A56" s="53"/>
      <c r="B56" s="53"/>
      <c r="C56" s="83"/>
      <c r="D56" s="87"/>
      <c r="E56" s="88"/>
      <c r="F56" s="55"/>
      <c r="G56" s="55"/>
      <c r="H56" s="55"/>
      <c r="I56" s="55"/>
      <c r="J56" s="53"/>
      <c r="K56" s="3"/>
      <c r="L56" s="3"/>
      <c r="M56" s="3"/>
      <c r="N56" s="3"/>
      <c r="O56" s="3"/>
    </row>
    <row r="57" spans="1:15" ht="20.25" x14ac:dyDescent="0.3">
      <c r="A57" s="53"/>
      <c r="B57" s="53"/>
      <c r="C57" s="53"/>
      <c r="D57" s="53"/>
      <c r="E57" s="53"/>
      <c r="F57" s="53"/>
      <c r="G57" s="53"/>
      <c r="H57" s="53"/>
      <c r="I57" s="53"/>
      <c r="J57" s="53"/>
    </row>
    <row r="58" spans="1:15" ht="18" x14ac:dyDescent="0.25">
      <c r="A58" s="10" t="s">
        <v>58</v>
      </c>
      <c r="B58" s="8"/>
      <c r="C58" s="8"/>
      <c r="D58" s="9"/>
      <c r="E58" s="9"/>
    </row>
    <row r="59" spans="1:15" x14ac:dyDescent="0.2">
      <c r="A59" s="7" t="s">
        <v>60</v>
      </c>
      <c r="B59" s="8"/>
      <c r="C59" s="8"/>
      <c r="D59" s="9"/>
      <c r="E59" s="9"/>
    </row>
    <row r="60" spans="1:15" x14ac:dyDescent="0.2">
      <c r="A60" s="11" t="s">
        <v>44</v>
      </c>
      <c r="B60" s="8"/>
      <c r="C60" s="8"/>
      <c r="D60" s="9"/>
      <c r="E60" s="9"/>
    </row>
    <row r="61" spans="1:15" x14ac:dyDescent="0.2">
      <c r="A61" s="7" t="s">
        <v>43</v>
      </c>
      <c r="B61" s="8"/>
      <c r="C61" s="8"/>
      <c r="D61" s="9"/>
      <c r="E61" s="9"/>
    </row>
    <row r="62" spans="1:15" x14ac:dyDescent="0.2">
      <c r="A62" s="7" t="s">
        <v>45</v>
      </c>
      <c r="D62" s="9"/>
      <c r="E62" s="9"/>
    </row>
    <row r="63" spans="1:15" x14ac:dyDescent="0.2">
      <c r="A63" s="11" t="s">
        <v>63</v>
      </c>
      <c r="D63" s="9"/>
      <c r="E63" s="9"/>
    </row>
    <row r="64" spans="1:15" x14ac:dyDescent="0.2">
      <c r="A64" s="42" t="s">
        <v>50</v>
      </c>
      <c r="B64" s="42"/>
      <c r="C64" s="42" t="s">
        <v>49</v>
      </c>
      <c r="D64" s="9"/>
      <c r="E64" s="9"/>
    </row>
    <row r="65" spans="1:7" x14ac:dyDescent="0.2">
      <c r="A65" s="4" t="s">
        <v>46</v>
      </c>
      <c r="C65" s="4" t="s">
        <v>51</v>
      </c>
      <c r="D65" s="9"/>
      <c r="E65" s="9"/>
    </row>
    <row r="66" spans="1:7" x14ac:dyDescent="0.2">
      <c r="A66" s="4" t="s">
        <v>47</v>
      </c>
      <c r="C66" s="4" t="s">
        <v>52</v>
      </c>
      <c r="D66" s="9"/>
      <c r="E66" s="9"/>
    </row>
    <row r="67" spans="1:7" x14ac:dyDescent="0.2">
      <c r="A67" s="4" t="s">
        <v>48</v>
      </c>
      <c r="C67" s="4" t="s">
        <v>53</v>
      </c>
      <c r="D67" s="9"/>
      <c r="E67" s="9"/>
    </row>
    <row r="68" spans="1:7" x14ac:dyDescent="0.2">
      <c r="A68" s="7" t="s">
        <v>54</v>
      </c>
      <c r="D68" s="9"/>
      <c r="E68" s="9"/>
    </row>
    <row r="69" spans="1:7" x14ac:dyDescent="0.2">
      <c r="A69" s="7" t="s">
        <v>62</v>
      </c>
      <c r="D69" s="9"/>
      <c r="E69" s="9"/>
    </row>
    <row r="70" spans="1:7" x14ac:dyDescent="0.2">
      <c r="A70" s="7" t="s">
        <v>61</v>
      </c>
      <c r="D70" s="9"/>
      <c r="E70" s="9"/>
    </row>
    <row r="71" spans="1:7" x14ac:dyDescent="0.2">
      <c r="A71" s="42" t="s">
        <v>19</v>
      </c>
      <c r="B71" s="42"/>
      <c r="C71" s="42" t="s">
        <v>20</v>
      </c>
      <c r="D71" s="9"/>
      <c r="E71" s="9"/>
    </row>
    <row r="72" spans="1:7" x14ac:dyDescent="0.2">
      <c r="A72" s="45" t="s">
        <v>18</v>
      </c>
      <c r="B72" s="45"/>
      <c r="C72" s="45">
        <v>13</v>
      </c>
      <c r="D72" s="9"/>
      <c r="E72" s="9"/>
    </row>
    <row r="73" spans="1:7" x14ac:dyDescent="0.2">
      <c r="A73" s="45" t="s">
        <v>21</v>
      </c>
      <c r="B73" s="45"/>
      <c r="C73" s="45">
        <v>6</v>
      </c>
      <c r="D73" s="9"/>
      <c r="E73" s="9"/>
    </row>
    <row r="74" spans="1:7" x14ac:dyDescent="0.2">
      <c r="A74" s="45" t="s">
        <v>22</v>
      </c>
      <c r="B74" s="45"/>
      <c r="C74" s="45">
        <v>16</v>
      </c>
      <c r="D74" s="9"/>
      <c r="E74" s="9"/>
    </row>
    <row r="75" spans="1:7" x14ac:dyDescent="0.2">
      <c r="A75" s="45" t="s">
        <v>23</v>
      </c>
      <c r="B75" s="45"/>
      <c r="C75" s="45">
        <v>17.5</v>
      </c>
      <c r="D75" s="9"/>
      <c r="E75" s="9"/>
    </row>
    <row r="76" spans="1:7" x14ac:dyDescent="0.2">
      <c r="A76" s="45" t="s">
        <v>24</v>
      </c>
      <c r="B76" s="45"/>
      <c r="C76" s="45">
        <v>11</v>
      </c>
      <c r="D76" s="9"/>
      <c r="E76" s="9"/>
    </row>
    <row r="77" spans="1:7" x14ac:dyDescent="0.2">
      <c r="A77" s="7" t="s">
        <v>56</v>
      </c>
      <c r="D77" s="9"/>
      <c r="E77" s="9"/>
    </row>
    <row r="78" spans="1:7" x14ac:dyDescent="0.2">
      <c r="A78" s="6" t="s">
        <v>25</v>
      </c>
      <c r="D78" s="9"/>
      <c r="E78" s="9"/>
    </row>
    <row r="79" spans="1:7" x14ac:dyDescent="0.2">
      <c r="A79" s="6" t="s">
        <v>27</v>
      </c>
      <c r="D79" s="9"/>
      <c r="E79" s="9"/>
    </row>
    <row r="80" spans="1:7" x14ac:dyDescent="0.2">
      <c r="A80" s="6" t="s">
        <v>26</v>
      </c>
      <c r="D80" s="9"/>
      <c r="E80" s="9"/>
      <c r="F80" s="16"/>
      <c r="G80" s="16"/>
    </row>
    <row r="81" spans="1:7" x14ac:dyDescent="0.2">
      <c r="A81" s="46" t="s">
        <v>86</v>
      </c>
      <c r="D81" s="9"/>
      <c r="E81" s="9"/>
      <c r="F81" s="16"/>
      <c r="G81" s="16"/>
    </row>
    <row r="82" spans="1:7" x14ac:dyDescent="0.2">
      <c r="A82" s="15"/>
      <c r="B82" s="16"/>
      <c r="C82" s="16"/>
      <c r="D82" s="17"/>
      <c r="E82" s="17"/>
    </row>
    <row r="83" spans="1:7" x14ac:dyDescent="0.2">
      <c r="A83" s="15"/>
      <c r="B83" s="16"/>
      <c r="C83" s="16"/>
      <c r="D83" s="17"/>
      <c r="E83" s="17"/>
    </row>
    <row r="84" spans="1:7" x14ac:dyDescent="0.2">
      <c r="A84" s="15"/>
      <c r="D84" s="9"/>
      <c r="E84" s="9"/>
    </row>
    <row r="85" spans="1:7" x14ac:dyDescent="0.2">
      <c r="A85" s="12"/>
    </row>
    <row r="86" spans="1:7" x14ac:dyDescent="0.2">
      <c r="A86" s="12"/>
      <c r="B86" s="47">
        <v>25.548999999999999</v>
      </c>
      <c r="C86" s="47">
        <f>-66.7+41.7*(B86)-1.53*(B86*B86)</f>
        <v>-1.6343530000085593E-2</v>
      </c>
      <c r="D86" s="47"/>
      <c r="E86" s="47"/>
      <c r="F86" s="47"/>
    </row>
    <row r="87" spans="1:7" x14ac:dyDescent="0.2">
      <c r="A87" s="13"/>
      <c r="B87" s="47">
        <v>-66.7</v>
      </c>
      <c r="C87" s="47">
        <f>'Pricing HARVESTED Corn Silage'!$D$7</f>
        <v>155</v>
      </c>
      <c r="D87" s="47"/>
      <c r="E87" s="47"/>
      <c r="F87" s="47"/>
    </row>
    <row r="88" spans="1:7" x14ac:dyDescent="0.2">
      <c r="A88" s="43"/>
      <c r="B88" s="47">
        <f>B87-C87</f>
        <v>-221.7</v>
      </c>
      <c r="C88" s="47" t="s">
        <v>6</v>
      </c>
      <c r="D88" s="47"/>
      <c r="E88" s="47"/>
      <c r="F88" s="47"/>
    </row>
    <row r="89" spans="1:7" x14ac:dyDescent="0.2">
      <c r="A89" s="43"/>
      <c r="B89" s="47">
        <v>41.7</v>
      </c>
      <c r="C89" s="47" t="s">
        <v>7</v>
      </c>
      <c r="D89" s="47"/>
      <c r="E89" s="47"/>
      <c r="F89" s="47"/>
    </row>
    <row r="90" spans="1:7" x14ac:dyDescent="0.2">
      <c r="A90" s="12"/>
      <c r="B90" s="47">
        <v>-1.53</v>
      </c>
      <c r="C90" s="47" t="s">
        <v>8</v>
      </c>
      <c r="D90" s="47" t="s">
        <v>9</v>
      </c>
      <c r="E90" s="47" t="s">
        <v>11</v>
      </c>
      <c r="F90" s="47" t="s">
        <v>10</v>
      </c>
    </row>
    <row r="91" spans="1:7" x14ac:dyDescent="0.2">
      <c r="A91" s="43"/>
      <c r="B91" s="47"/>
      <c r="C91" s="47"/>
      <c r="D91" s="47">
        <f>(-B89+SQRT(POWER(41.7,2)-4*B90*B88))/(2*B90)</f>
        <v>7.2395358714792746</v>
      </c>
      <c r="E91" s="48">
        <f>'Pricing HARVESTED Corn Silage'!$D$8</f>
        <v>0.35</v>
      </c>
      <c r="F91" s="47">
        <f>D91/E91</f>
        <v>20.684388204226501</v>
      </c>
    </row>
    <row r="92" spans="1:7" x14ac:dyDescent="0.2">
      <c r="A92" s="43"/>
    </row>
    <row r="93" spans="1:7" x14ac:dyDescent="0.2">
      <c r="A93" s="43"/>
    </row>
    <row r="95" spans="1:7" x14ac:dyDescent="0.2">
      <c r="A95" s="43"/>
    </row>
    <row r="96" spans="1:7" x14ac:dyDescent="0.2">
      <c r="A96" s="14"/>
    </row>
    <row r="97" spans="1:5" x14ac:dyDescent="0.2">
      <c r="A97" s="14"/>
      <c r="B97" s="45"/>
      <c r="C97" s="45"/>
    </row>
    <row r="98" spans="1:5" x14ac:dyDescent="0.2">
      <c r="A98" s="14"/>
      <c r="B98" s="45">
        <v>5</v>
      </c>
      <c r="C98" s="45"/>
    </row>
    <row r="99" spans="1:5" x14ac:dyDescent="0.2">
      <c r="A99" s="14"/>
      <c r="B99" s="45" t="b">
        <v>1</v>
      </c>
      <c r="C99" s="45">
        <f>1*B99</f>
        <v>1</v>
      </c>
    </row>
    <row r="100" spans="1:5" x14ac:dyDescent="0.2">
      <c r="A100" s="14"/>
      <c r="B100" s="45" t="b">
        <v>1</v>
      </c>
      <c r="C100" s="45">
        <f>1*B100</f>
        <v>1</v>
      </c>
    </row>
    <row r="101" spans="1:5" x14ac:dyDescent="0.2">
      <c r="A101" s="14"/>
      <c r="B101" s="45" t="b">
        <v>1</v>
      </c>
      <c r="C101" s="45">
        <f>1*B101</f>
        <v>1</v>
      </c>
    </row>
    <row r="102" spans="1:5" x14ac:dyDescent="0.2">
      <c r="A102" s="14"/>
    </row>
    <row r="104" spans="1:5" x14ac:dyDescent="0.2">
      <c r="A104" s="49"/>
      <c r="B104" s="49"/>
      <c r="C104" s="49"/>
      <c r="D104" s="49"/>
      <c r="E104" s="49"/>
    </row>
    <row r="136" spans="2:3" x14ac:dyDescent="0.2">
      <c r="B136" s="45"/>
      <c r="C136" s="45"/>
    </row>
    <row r="137" spans="2:3" x14ac:dyDescent="0.2">
      <c r="B137" s="45"/>
      <c r="C137" s="45"/>
    </row>
    <row r="138" spans="2:3" x14ac:dyDescent="0.2">
      <c r="B138" s="45"/>
      <c r="C138" s="45"/>
    </row>
    <row r="139" spans="2:3" x14ac:dyDescent="0.2">
      <c r="B139" s="45"/>
      <c r="C139" s="45"/>
    </row>
    <row r="153" spans="1:1" x14ac:dyDescent="0.2">
      <c r="A153" s="4" t="b">
        <v>1</v>
      </c>
    </row>
    <row r="154" spans="1:1" x14ac:dyDescent="0.2">
      <c r="A154" s="4" t="b">
        <v>1</v>
      </c>
    </row>
    <row r="155" spans="1:1" x14ac:dyDescent="0.2">
      <c r="A155" s="4" t="b">
        <v>1</v>
      </c>
    </row>
    <row r="1099" spans="2:2" x14ac:dyDescent="0.2">
      <c r="B1099" s="4" t="b">
        <v>1</v>
      </c>
    </row>
  </sheetData>
  <sheetProtection sheet="1" objects="1" scenarios="1"/>
  <mergeCells count="1">
    <mergeCell ref="A50:I50"/>
  </mergeCells>
  <pageMargins left="0.75" right="0.75" top="1" bottom="1" header="0.5" footer="0.5"/>
  <pageSetup scale="55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DropBox">
              <controlPr locked="0" defaultSize="0" autoLine="0" autoPict="0">
                <anchor moveWithCells="1">
                  <from>
                    <xdr:col>0</xdr:col>
                    <xdr:colOff>19050</xdr:colOff>
                    <xdr:row>26</xdr:row>
                    <xdr:rowOff>28575</xdr:rowOff>
                  </from>
                  <to>
                    <xdr:col>0</xdr:col>
                    <xdr:colOff>1400175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5" name="Check Box 14">
              <controlPr defaultSize="0" autoFill="0" autoLine="0" autoPict="0">
                <anchor moveWithCells="1">
                  <from>
                    <xdr:col>0</xdr:col>
                    <xdr:colOff>2181225</xdr:colOff>
                    <xdr:row>21</xdr:row>
                    <xdr:rowOff>247650</xdr:rowOff>
                  </from>
                  <to>
                    <xdr:col>0</xdr:col>
                    <xdr:colOff>2867025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3" r:id="rId6" name="Check Box 15">
              <controlPr defaultSize="0" autoFill="0" autoLine="0" autoPict="0">
                <anchor moveWithCells="1">
                  <from>
                    <xdr:col>0</xdr:col>
                    <xdr:colOff>2867025</xdr:colOff>
                    <xdr:row>22</xdr:row>
                    <xdr:rowOff>9525</xdr:rowOff>
                  </from>
                  <to>
                    <xdr:col>0</xdr:col>
                    <xdr:colOff>3552825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4" r:id="rId7" name="Check Box 16">
              <controlPr defaultSize="0" autoFill="0" autoLine="0" autoPict="0">
                <anchor moveWithCells="1">
                  <from>
                    <xdr:col>0</xdr:col>
                    <xdr:colOff>3448050</xdr:colOff>
                    <xdr:row>22</xdr:row>
                    <xdr:rowOff>9525</xdr:rowOff>
                  </from>
                  <to>
                    <xdr:col>1</xdr:col>
                    <xdr:colOff>76200</xdr:colOff>
                    <xdr:row>23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21"/>
  <sheetViews>
    <sheetView topLeftCell="A4" workbookViewId="0">
      <selection activeCell="K13" sqref="K13"/>
    </sheetView>
  </sheetViews>
  <sheetFormatPr defaultRowHeight="12.75" x14ac:dyDescent="0.2"/>
  <cols>
    <col min="1" max="1" width="14.7109375" customWidth="1"/>
    <col min="2" max="7" width="9.85546875" bestFit="1" customWidth="1"/>
  </cols>
  <sheetData>
    <row r="6" spans="1:7" s="156" customFormat="1" ht="23.25" x14ac:dyDescent="0.35">
      <c r="A6" s="155" t="s">
        <v>118</v>
      </c>
      <c r="B6" s="155"/>
      <c r="C6" s="155"/>
      <c r="D6" s="155"/>
      <c r="E6" s="155"/>
    </row>
    <row r="7" spans="1:7" s="156" customFormat="1" ht="23.25" x14ac:dyDescent="0.35">
      <c r="A7" s="157" t="s">
        <v>135</v>
      </c>
      <c r="B7" s="155"/>
      <c r="C7" s="155"/>
      <c r="D7" s="155"/>
      <c r="E7" s="155"/>
    </row>
    <row r="8" spans="1:7" s="156" customFormat="1" ht="23.25" x14ac:dyDescent="0.35">
      <c r="A8" s="158" t="s">
        <v>136</v>
      </c>
      <c r="B8" s="155"/>
      <c r="C8" s="155"/>
      <c r="D8" s="155"/>
      <c r="E8" s="155"/>
    </row>
    <row r="9" spans="1:7" s="156" customFormat="1" ht="23.25" x14ac:dyDescent="0.35">
      <c r="A9" s="158" t="s">
        <v>137</v>
      </c>
      <c r="B9" s="155"/>
      <c r="C9" s="155"/>
      <c r="D9" s="155"/>
      <c r="E9" s="155"/>
    </row>
    <row r="10" spans="1:7" s="156" customFormat="1" ht="23.25" x14ac:dyDescent="0.35">
      <c r="A10" s="158" t="s">
        <v>138</v>
      </c>
      <c r="B10" s="155"/>
      <c r="C10" s="155"/>
      <c r="D10" s="155"/>
      <c r="E10" s="155"/>
      <c r="F10" s="56" t="s">
        <v>139</v>
      </c>
    </row>
    <row r="11" spans="1:7" ht="18" x14ac:dyDescent="0.25">
      <c r="A11" s="142"/>
      <c r="B11" s="142"/>
      <c r="C11" s="142"/>
      <c r="D11" s="142"/>
      <c r="E11" s="142"/>
      <c r="F11" s="142"/>
      <c r="G11" s="142"/>
    </row>
    <row r="12" spans="1:7" ht="18" x14ac:dyDescent="0.25">
      <c r="A12" s="142" t="s">
        <v>119</v>
      </c>
      <c r="B12" s="142"/>
      <c r="C12" s="142"/>
      <c r="D12" s="142"/>
      <c r="E12" s="142"/>
      <c r="F12" s="142"/>
      <c r="G12" s="142"/>
    </row>
    <row r="13" spans="1:7" ht="18" x14ac:dyDescent="0.25">
      <c r="A13" s="142"/>
      <c r="B13" s="143" t="s">
        <v>120</v>
      </c>
      <c r="C13" s="144"/>
      <c r="D13" s="144"/>
      <c r="E13" s="144"/>
      <c r="F13" s="144"/>
      <c r="G13" s="145"/>
    </row>
    <row r="14" spans="1:7" ht="18" x14ac:dyDescent="0.25">
      <c r="A14" s="146" t="s">
        <v>121</v>
      </c>
      <c r="B14" s="147">
        <v>22</v>
      </c>
      <c r="C14" s="148">
        <f>B14+4</f>
        <v>26</v>
      </c>
      <c r="D14" s="148">
        <f>B14+8</f>
        <v>30</v>
      </c>
      <c r="E14" s="148">
        <f>B14+12</f>
        <v>34</v>
      </c>
      <c r="F14" s="148">
        <f>B14+16</f>
        <v>38</v>
      </c>
      <c r="G14" s="148">
        <f>B14+20</f>
        <v>42</v>
      </c>
    </row>
    <row r="15" spans="1:7" ht="18" x14ac:dyDescent="0.25">
      <c r="A15" s="149">
        <v>0.71</v>
      </c>
      <c r="B15" s="150">
        <f t="shared" ref="B15:G15" si="0">(B14/0.35)*0.29</f>
        <v>18.228571428571428</v>
      </c>
      <c r="C15" s="150">
        <f t="shared" si="0"/>
        <v>21.542857142857144</v>
      </c>
      <c r="D15" s="150">
        <f t="shared" si="0"/>
        <v>24.857142857142858</v>
      </c>
      <c r="E15" s="150">
        <f t="shared" si="0"/>
        <v>28.171428571428571</v>
      </c>
      <c r="F15" s="150">
        <f t="shared" si="0"/>
        <v>31.485714285714288</v>
      </c>
      <c r="G15" s="150">
        <f t="shared" si="0"/>
        <v>34.800000000000004</v>
      </c>
    </row>
    <row r="16" spans="1:7" ht="18" x14ac:dyDescent="0.25">
      <c r="A16" s="151">
        <v>0.69</v>
      </c>
      <c r="B16" s="152">
        <f t="shared" ref="B16:G16" si="1">(B14/0.35)*0.31</f>
        <v>19.485714285714288</v>
      </c>
      <c r="C16" s="152">
        <f t="shared" si="1"/>
        <v>23.028571428571432</v>
      </c>
      <c r="D16" s="152">
        <f t="shared" si="1"/>
        <v>26.571428571428573</v>
      </c>
      <c r="E16" s="152">
        <f t="shared" si="1"/>
        <v>30.114285714285717</v>
      </c>
      <c r="F16" s="152">
        <f t="shared" si="1"/>
        <v>33.657142857142858</v>
      </c>
      <c r="G16" s="152">
        <f t="shared" si="1"/>
        <v>37.200000000000003</v>
      </c>
    </row>
    <row r="17" spans="1:7" ht="18" x14ac:dyDescent="0.25">
      <c r="A17" s="151">
        <v>0.67</v>
      </c>
      <c r="B17" s="152">
        <f t="shared" ref="B17:G17" si="2">(B14/0.35)*0.33</f>
        <v>20.742857142857144</v>
      </c>
      <c r="C17" s="152">
        <f t="shared" si="2"/>
        <v>24.514285714285716</v>
      </c>
      <c r="D17" s="152">
        <f t="shared" si="2"/>
        <v>28.285714285714288</v>
      </c>
      <c r="E17" s="152">
        <f t="shared" si="2"/>
        <v>32.057142857142864</v>
      </c>
      <c r="F17" s="152">
        <f t="shared" si="2"/>
        <v>35.828571428571436</v>
      </c>
      <c r="G17" s="152">
        <f t="shared" si="2"/>
        <v>39.600000000000009</v>
      </c>
    </row>
    <row r="18" spans="1:7" ht="18" x14ac:dyDescent="0.25">
      <c r="A18" s="153">
        <v>0.65</v>
      </c>
      <c r="B18" s="154">
        <f t="shared" ref="B18:G18" si="3">B14</f>
        <v>22</v>
      </c>
      <c r="C18" s="154">
        <f t="shared" si="3"/>
        <v>26</v>
      </c>
      <c r="D18" s="154">
        <f t="shared" si="3"/>
        <v>30</v>
      </c>
      <c r="E18" s="154">
        <f t="shared" si="3"/>
        <v>34</v>
      </c>
      <c r="F18" s="154">
        <f t="shared" si="3"/>
        <v>38</v>
      </c>
      <c r="G18" s="154">
        <f t="shared" si="3"/>
        <v>42</v>
      </c>
    </row>
    <row r="19" spans="1:7" ht="18" x14ac:dyDescent="0.25">
      <c r="A19" s="151">
        <v>0.63</v>
      </c>
      <c r="B19" s="152">
        <f t="shared" ref="B19:G19" si="4">(B14/0.35)*0.37</f>
        <v>23.25714285714286</v>
      </c>
      <c r="C19" s="152">
        <f t="shared" si="4"/>
        <v>27.485714285714288</v>
      </c>
      <c r="D19" s="152">
        <f t="shared" si="4"/>
        <v>31.714285714285715</v>
      </c>
      <c r="E19" s="152">
        <f t="shared" si="4"/>
        <v>35.942857142857143</v>
      </c>
      <c r="F19" s="152">
        <f t="shared" si="4"/>
        <v>40.171428571428578</v>
      </c>
      <c r="G19" s="152">
        <f t="shared" si="4"/>
        <v>44.400000000000006</v>
      </c>
    </row>
    <row r="20" spans="1:7" ht="18" x14ac:dyDescent="0.25">
      <c r="A20" s="151">
        <v>0.61</v>
      </c>
      <c r="B20" s="152">
        <f t="shared" ref="B20:G20" si="5">(B14/0.35)*0.39</f>
        <v>24.514285714285716</v>
      </c>
      <c r="C20" s="152">
        <f t="shared" si="5"/>
        <v>28.971428571428575</v>
      </c>
      <c r="D20" s="152">
        <f t="shared" si="5"/>
        <v>33.428571428571431</v>
      </c>
      <c r="E20" s="152">
        <f t="shared" si="5"/>
        <v>37.885714285714293</v>
      </c>
      <c r="F20" s="152">
        <f t="shared" si="5"/>
        <v>42.342857142857149</v>
      </c>
      <c r="G20" s="152">
        <f t="shared" si="5"/>
        <v>46.800000000000004</v>
      </c>
    </row>
    <row r="21" spans="1:7" ht="18" x14ac:dyDescent="0.25">
      <c r="A21" s="151">
        <v>0.59</v>
      </c>
      <c r="B21" s="152">
        <f t="shared" ref="B21:G21" si="6">(B14/0.35)*0.41</f>
        <v>25.771428571428572</v>
      </c>
      <c r="C21" s="152">
        <f t="shared" si="6"/>
        <v>30.457142857142859</v>
      </c>
      <c r="D21" s="152">
        <f t="shared" si="6"/>
        <v>35.142857142857146</v>
      </c>
      <c r="E21" s="152">
        <f t="shared" si="6"/>
        <v>39.828571428571429</v>
      </c>
      <c r="F21" s="152">
        <f t="shared" si="6"/>
        <v>44.51428571428572</v>
      </c>
      <c r="G21" s="152">
        <f t="shared" si="6"/>
        <v>49.2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E12"/>
  <sheetViews>
    <sheetView workbookViewId="0">
      <selection activeCell="H21" sqref="H21"/>
    </sheetView>
  </sheetViews>
  <sheetFormatPr defaultRowHeight="12.75" x14ac:dyDescent="0.2"/>
  <sheetData>
    <row r="2" spans="1:5" x14ac:dyDescent="0.2">
      <c r="A2">
        <v>25.548999999999999</v>
      </c>
      <c r="B2">
        <f>-66.7+41.7*(A2)-1.53*(A2*A2)</f>
        <v>-1.6343530000085593E-2</v>
      </c>
    </row>
    <row r="3" spans="1:5" x14ac:dyDescent="0.2">
      <c r="A3">
        <v>-66.7</v>
      </c>
      <c r="B3" s="2" t="e">
        <f>#REF!</f>
        <v>#REF!</v>
      </c>
    </row>
    <row r="4" spans="1:5" x14ac:dyDescent="0.2">
      <c r="A4" t="e">
        <f>A3-B3</f>
        <v>#REF!</v>
      </c>
      <c r="B4" t="s">
        <v>6</v>
      </c>
    </row>
    <row r="5" spans="1:5" x14ac:dyDescent="0.2">
      <c r="A5">
        <v>41.7</v>
      </c>
      <c r="B5" t="s">
        <v>7</v>
      </c>
    </row>
    <row r="6" spans="1:5" x14ac:dyDescent="0.2">
      <c r="A6">
        <v>-1.53</v>
      </c>
      <c r="B6" t="s">
        <v>8</v>
      </c>
      <c r="C6" t="s">
        <v>9</v>
      </c>
      <c r="D6" t="s">
        <v>11</v>
      </c>
      <c r="E6" t="s">
        <v>10</v>
      </c>
    </row>
    <row r="7" spans="1:5" x14ac:dyDescent="0.2">
      <c r="C7" t="e">
        <f>(-A5+SQRT(POWER(41.7,2)-4*A6*A4))/(2*A6)</f>
        <v>#REF!</v>
      </c>
      <c r="D7" s="1" t="e">
        <f>#REF!</f>
        <v>#REF!</v>
      </c>
      <c r="E7" t="e">
        <f>C7/D7</f>
        <v>#REF!</v>
      </c>
    </row>
    <row r="9" spans="1:5" x14ac:dyDescent="0.2">
      <c r="A9" s="18"/>
      <c r="B9" s="19"/>
    </row>
    <row r="12" spans="1:5" x14ac:dyDescent="0.2">
      <c r="B12" s="2"/>
    </row>
  </sheetData>
  <sheetProtection password="861A" sheet="1"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Introduction</vt:lpstr>
      <vt:lpstr>Pricing STANDING Corn Silage</vt:lpstr>
      <vt:lpstr>Pricing HARVESTED Corn Silage</vt:lpstr>
      <vt:lpstr>Moisture Adjustment</vt:lpstr>
      <vt:lpstr>Yield Estimate</vt:lpstr>
      <vt:lpstr>'Pricing HARVESTED Corn Silage'!Print_Area</vt:lpstr>
      <vt:lpstr>'Pricing STANDING Corn Silage'!Print_Area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scc</dc:creator>
  <cp:lastModifiedBy>Mike Rankin</cp:lastModifiedBy>
  <cp:lastPrinted>2013-09-19T20:11:58Z</cp:lastPrinted>
  <dcterms:created xsi:type="dcterms:W3CDTF">2007-08-14T00:43:51Z</dcterms:created>
  <dcterms:modified xsi:type="dcterms:W3CDTF">2014-10-17T18:55:57Z</dcterms:modified>
</cp:coreProperties>
</file>