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340" windowHeight="8325" activeTab="0"/>
  </bookViews>
  <sheets>
    <sheet name="Calculations" sheetId="1" r:id="rId1"/>
    <sheet name="Sensitivity_analysis" sheetId="2" r:id="rId2"/>
    <sheet name="Chart" sheetId="3" r:id="rId3"/>
    <sheet name="Parameters_and_calculations" sheetId="4" r:id="rId4"/>
  </sheets>
  <definedNames>
    <definedName name="_xlnm.Print_Area" localSheetId="0">'Calculations'!$A$1:$J$28</definedName>
    <definedName name="scr_cost">'Sensitivity_analysis'!$H$24</definedName>
    <definedName name="scr_price">'Sensitivity_analysis'!$H$19</definedName>
    <definedName name="scr_rfv">'Sensitivity_analysis'!$H$14</definedName>
    <definedName name="scr_yld">'Sensitivity_analysis'!$H$9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<sst xmlns="http://schemas.openxmlformats.org/spreadsheetml/2006/main" count="62" uniqueCount="48">
  <si>
    <t>RFV</t>
  </si>
  <si>
    <t>Day</t>
  </si>
  <si>
    <t>Price predicted</t>
  </si>
  <si>
    <t>Yield (tons)</t>
  </si>
  <si>
    <t>Gross Revenue/A</t>
  </si>
  <si>
    <t>Net Revenue/A</t>
  </si>
  <si>
    <t>Base yield/A, tons</t>
  </si>
  <si>
    <t>Inputs:</t>
  </si>
  <si>
    <t>Results:</t>
  </si>
  <si>
    <t>Harvest Date</t>
  </si>
  <si>
    <t>Details:</t>
  </si>
  <si>
    <t xml:space="preserve">Latest harvest date considered (not more </t>
  </si>
  <si>
    <t>than 21 days after earliest):</t>
  </si>
  <si>
    <t>Other parameters used in the calculations:</t>
  </si>
  <si>
    <t>RFV loss expected during harvest</t>
  </si>
  <si>
    <t>Yield expected on that date, tons/A</t>
  </si>
  <si>
    <t>Earliest harvest date being considered</t>
  </si>
  <si>
    <t>Scissors-cut or standing crop RFV</t>
  </si>
  <si>
    <t>(Source:  Dan Undersander, UW Madison)</t>
  </si>
  <si>
    <t>RFV expected on that date:</t>
  </si>
  <si>
    <t>As-harvested RFV expected</t>
  </si>
  <si>
    <t>Yield, lbs/A</t>
  </si>
  <si>
    <t>Yield on this date, tons/A</t>
  </si>
  <si>
    <t>Profit-maximizing harvest date</t>
  </si>
  <si>
    <t>/ton</t>
  </si>
  <si>
    <t>tons/A</t>
  </si>
  <si>
    <t>Harvesting cost/A expected</t>
  </si>
  <si>
    <t>What is the usual tons/A yield that this harvesting cost is based on?</t>
  </si>
  <si>
    <t>How would a one-ton difference in yield above or below this usual yield, affect this expected harvesting cost/A?</t>
  </si>
  <si>
    <t>RFV if harvested on this date</t>
  </si>
  <si>
    <t>Hay crop value/ton if harvested on this date</t>
  </si>
  <si>
    <t>Harvesting cost/A if harvested on this date</t>
  </si>
  <si>
    <t>Net revenue/A if harvested on this date</t>
  </si>
  <si>
    <t>lbs/A</t>
  </si>
  <si>
    <t>RFV as harvested</t>
  </si>
  <si>
    <t>RFV as standing in the field</t>
  </si>
  <si>
    <t>harvesting loss</t>
  </si>
  <si>
    <t>Enter RFV of Base Price Hay (usually RFV 150)</t>
  </si>
  <si>
    <t>Yield and quality changes/day expected after the date entered above:</t>
  </si>
  <si>
    <t>How would a one-ton difference in yield affect expected harvesting cost/A?</t>
  </si>
  <si>
    <t>Base:</t>
  </si>
  <si>
    <t>Yield, lbs/A:</t>
  </si>
  <si>
    <t xml:space="preserve">RFV: </t>
  </si>
  <si>
    <t>Yield and quality changes/day expected after that date:</t>
  </si>
  <si>
    <t>Sensitivity Analysis</t>
  </si>
  <si>
    <t>Profit-maximizing harvest date:</t>
  </si>
  <si>
    <t>/A</t>
  </si>
  <si>
    <t>Spreadsheet for calculating the optimal first cutting date and net return/A based on expected changes in yield and RFV, by Bill Lazarus and Dan Undersander.  Date of last revision:  11/14/2005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</si>
</sst>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[$-409]dddd\,\ mmmm\ dd\,\ yyyy"/>
    <numFmt numFmtId="171" formatCode="[$-409]d\-mmm;@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&quot;$&quot;#,##0.00"/>
    <numFmt numFmtId="176" formatCode="&quot;$&quot;#,##0.0"/>
    <numFmt numFmtId="177" formatCode="&quot;$&quot;#,##0"/>
    <numFmt numFmtId="178" formatCode="m/d;@"/>
    <numFmt numFmtId="179" formatCode="[$-409]mmm\-yy;@"/>
    <numFmt numFmtId="180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sz val="10"/>
      <name val="Arial Unicode MS"/>
      <family val="2"/>
    </font>
    <font>
      <b/>
      <sz val="8"/>
      <name val="Arial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/>
    </xf>
    <xf numFmtId="43" fontId="0" fillId="2" borderId="2" xfId="15" applyFill="1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" fontId="0" fillId="0" borderId="3" xfId="0" applyNumberFormat="1" applyBorder="1" applyAlignment="1">
      <alignment/>
    </xf>
    <xf numFmtId="169" fontId="0" fillId="0" borderId="0" xfId="17" applyNumberFormat="1" applyBorder="1" applyAlignment="1">
      <alignment/>
    </xf>
    <xf numFmtId="169" fontId="0" fillId="0" borderId="4" xfId="17" applyNumberFormat="1" applyBorder="1" applyAlignment="1">
      <alignment/>
    </xf>
    <xf numFmtId="16" fontId="0" fillId="0" borderId="6" xfId="0" applyNumberFormat="1" applyBorder="1" applyAlignment="1">
      <alignment/>
    </xf>
    <xf numFmtId="169" fontId="0" fillId="0" borderId="7" xfId="17" applyNumberFormat="1" applyBorder="1" applyAlignment="1">
      <alignment/>
    </xf>
    <xf numFmtId="169" fontId="0" fillId="0" borderId="8" xfId="17" applyNumberFormat="1" applyBorder="1" applyAlignment="1">
      <alignment/>
    </xf>
    <xf numFmtId="16" fontId="0" fillId="0" borderId="1" xfId="0" applyNumberFormat="1" applyBorder="1" applyAlignment="1">
      <alignment/>
    </xf>
    <xf numFmtId="173" fontId="0" fillId="0" borderId="5" xfId="15" applyNumberFormat="1" applyBorder="1" applyAlignment="1">
      <alignment/>
    </xf>
    <xf numFmtId="169" fontId="0" fillId="0" borderId="5" xfId="17" applyNumberFormat="1" applyBorder="1" applyAlignment="1">
      <alignment/>
    </xf>
    <xf numFmtId="169" fontId="0" fillId="0" borderId="2" xfId="17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7" xfId="15" applyNumberForma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43" fontId="0" fillId="3" borderId="0" xfId="15" applyFont="1" applyFill="1" applyBorder="1" applyAlignment="1">
      <alignment/>
    </xf>
    <xf numFmtId="0" fontId="0" fillId="3" borderId="0" xfId="0" applyFont="1" applyFill="1" applyBorder="1" applyAlignment="1">
      <alignment/>
    </xf>
    <xf numFmtId="16" fontId="0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 horizontal="left" wrapText="1" indent="1"/>
    </xf>
    <xf numFmtId="174" fontId="0" fillId="3" borderId="0" xfId="0" applyNumberFormat="1" applyFont="1" applyFill="1" applyBorder="1" applyAlignment="1">
      <alignment/>
    </xf>
    <xf numFmtId="0" fontId="0" fillId="3" borderId="0" xfId="0" applyFill="1" applyBorder="1" applyAlignment="1" quotePrefix="1">
      <alignment/>
    </xf>
    <xf numFmtId="44" fontId="0" fillId="3" borderId="0" xfId="17" applyFont="1" applyFill="1" applyBorder="1" applyAlignment="1">
      <alignment/>
    </xf>
    <xf numFmtId="44" fontId="0" fillId="3" borderId="0" xfId="17" applyFill="1" applyBorder="1" applyAlignment="1">
      <alignment/>
    </xf>
    <xf numFmtId="0" fontId="0" fillId="3" borderId="3" xfId="0" applyFill="1" applyBorder="1" applyAlignment="1">
      <alignment/>
    </xf>
    <xf numFmtId="16" fontId="0" fillId="3" borderId="0" xfId="0" applyNumberFormat="1" applyFill="1" applyAlignment="1">
      <alignment/>
    </xf>
    <xf numFmtId="172" fontId="0" fillId="0" borderId="5" xfId="15" applyNumberFormat="1" applyBorder="1" applyAlignment="1">
      <alignment/>
    </xf>
    <xf numFmtId="172" fontId="0" fillId="0" borderId="0" xfId="15" applyNumberFormat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9" xfId="0" applyFill="1" applyBorder="1" applyAlignment="1">
      <alignment horizontal="left" wrapText="1" indent="1"/>
    </xf>
    <xf numFmtId="174" fontId="0" fillId="3" borderId="10" xfId="0" applyNumberFormat="1" applyFill="1" applyBorder="1" applyAlignment="1">
      <alignment/>
    </xf>
    <xf numFmtId="1" fontId="0" fillId="3" borderId="9" xfId="0" applyNumberFormat="1" applyFill="1" applyBorder="1" applyAlignment="1">
      <alignment/>
    </xf>
    <xf numFmtId="0" fontId="6" fillId="3" borderId="1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6" fillId="4" borderId="0" xfId="0" applyFont="1" applyFill="1" applyAlignment="1">
      <alignment horizontal="center"/>
    </xf>
    <xf numFmtId="171" fontId="0" fillId="4" borderId="11" xfId="0" applyNumberFormat="1" applyFill="1" applyBorder="1" applyAlignment="1">
      <alignment/>
    </xf>
    <xf numFmtId="0" fontId="0" fillId="4" borderId="4" xfId="0" applyFill="1" applyBorder="1" applyAlignment="1">
      <alignment horizontal="left"/>
    </xf>
    <xf numFmtId="173" fontId="0" fillId="4" borderId="12" xfId="15" applyNumberFormat="1" applyFill="1" applyBorder="1" applyAlignment="1">
      <alignment/>
    </xf>
    <xf numFmtId="43" fontId="0" fillId="4" borderId="12" xfId="15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44" fontId="0" fillId="3" borderId="0" xfId="17" applyFont="1" applyFill="1" applyBorder="1" applyAlignment="1" quotePrefix="1">
      <alignment/>
    </xf>
    <xf numFmtId="177" fontId="0" fillId="4" borderId="12" xfId="0" applyNumberFormat="1" applyFill="1" applyBorder="1" applyAlignment="1">
      <alignment/>
    </xf>
    <xf numFmtId="0" fontId="0" fillId="3" borderId="10" xfId="0" applyFill="1" applyBorder="1" applyAlignment="1">
      <alignment horizontal="left" wrapText="1" indent="1"/>
    </xf>
    <xf numFmtId="0" fontId="0" fillId="3" borderId="0" xfId="0" applyFill="1" applyBorder="1" applyAlignment="1">
      <alignment horizontal="left" wrapText="1" indent="2"/>
    </xf>
    <xf numFmtId="0" fontId="0" fillId="3" borderId="0" xfId="0" applyFill="1" applyBorder="1" applyAlignment="1">
      <alignment horizontal="left" wrapText="1" indent="3"/>
    </xf>
    <xf numFmtId="0" fontId="0" fillId="3" borderId="9" xfId="0" applyFill="1" applyBorder="1" applyAlignment="1">
      <alignment horizontal="left" wrapText="1" indent="3"/>
    </xf>
    <xf numFmtId="0" fontId="8" fillId="3" borderId="0" xfId="0" applyFont="1" applyFill="1" applyAlignment="1">
      <alignment/>
    </xf>
    <xf numFmtId="0" fontId="0" fillId="3" borderId="0" xfId="0" applyFill="1" applyAlignment="1" quotePrefix="1">
      <alignment/>
    </xf>
    <xf numFmtId="0" fontId="0" fillId="3" borderId="9" xfId="0" applyFill="1" applyBorder="1" applyAlignment="1" quotePrefix="1">
      <alignment/>
    </xf>
    <xf numFmtId="16" fontId="0" fillId="0" borderId="0" xfId="0" applyNumberFormat="1" applyFill="1" applyBorder="1" applyAlignment="1" applyProtection="1">
      <alignment/>
      <protection locked="0"/>
    </xf>
    <xf numFmtId="17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9" fontId="0" fillId="0" borderId="0" xfId="21" applyFill="1" applyBorder="1" applyAlignment="1" applyProtection="1">
      <alignment/>
      <protection locked="0"/>
    </xf>
    <xf numFmtId="177" fontId="0" fillId="0" borderId="0" xfId="17" applyNumberFormat="1" applyFill="1" applyBorder="1" applyAlignment="1" applyProtection="1">
      <alignment/>
      <protection locked="0"/>
    </xf>
    <xf numFmtId="175" fontId="0" fillId="0" borderId="0" xfId="17" applyNumberFormat="1" applyFill="1" applyBorder="1" applyAlignment="1" applyProtection="1">
      <alignment/>
      <protection locked="0"/>
    </xf>
    <xf numFmtId="43" fontId="0" fillId="0" borderId="0" xfId="15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4" fontId="0" fillId="0" borderId="0" xfId="17" applyFill="1" applyAlignment="1" applyProtection="1">
      <alignment/>
      <protection locked="0"/>
    </xf>
    <xf numFmtId="44" fontId="0" fillId="0" borderId="9" xfId="17" applyFill="1" applyBorder="1" applyAlignment="1" applyProtection="1">
      <alignment/>
      <protection locked="0"/>
    </xf>
    <xf numFmtId="0" fontId="0" fillId="3" borderId="0" xfId="0" applyFill="1" applyBorder="1" applyAlignment="1">
      <alignment horizontal="left" indent="1"/>
    </xf>
    <xf numFmtId="0" fontId="0" fillId="3" borderId="0" xfId="0" applyFill="1" applyBorder="1" applyAlignment="1">
      <alignment/>
    </xf>
    <xf numFmtId="0" fontId="0" fillId="3" borderId="0" xfId="0" applyFill="1" applyAlignment="1">
      <alignment horizontal="left"/>
    </xf>
    <xf numFmtId="0" fontId="0" fillId="3" borderId="0" xfId="0" applyFill="1" applyBorder="1" applyAlignment="1" applyProtection="1">
      <alignment/>
      <protection locked="0"/>
    </xf>
    <xf numFmtId="175" fontId="0" fillId="3" borderId="0" xfId="17" applyNumberFormat="1" applyFill="1" applyBorder="1" applyAlignment="1" applyProtection="1">
      <alignment/>
      <protection locked="0"/>
    </xf>
    <xf numFmtId="0" fontId="0" fillId="5" borderId="0" xfId="0" applyFill="1" applyAlignment="1">
      <alignment/>
    </xf>
    <xf numFmtId="44" fontId="0" fillId="5" borderId="0" xfId="0" applyNumberFormat="1" applyFill="1" applyAlignment="1">
      <alignment/>
    </xf>
    <xf numFmtId="0" fontId="0" fillId="5" borderId="0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6" fillId="3" borderId="0" xfId="0" applyFont="1" applyFill="1" applyAlignment="1">
      <alignment/>
    </xf>
    <xf numFmtId="1" fontId="0" fillId="3" borderId="0" xfId="15" applyNumberFormat="1" applyFill="1" applyAlignment="1">
      <alignment/>
    </xf>
    <xf numFmtId="3" fontId="0" fillId="3" borderId="0" xfId="0" applyNumberFormat="1" applyFill="1" applyAlignment="1">
      <alignment/>
    </xf>
    <xf numFmtId="175" fontId="0" fillId="3" borderId="0" xfId="17" applyNumberFormat="1" applyFill="1" applyAlignment="1">
      <alignment/>
    </xf>
    <xf numFmtId="175" fontId="0" fillId="3" borderId="0" xfId="0" applyNumberFormat="1" applyFill="1" applyAlignment="1">
      <alignment/>
    </xf>
    <xf numFmtId="0" fontId="6" fillId="3" borderId="0" xfId="0" applyFont="1" applyFill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5" xfId="0" applyFill="1" applyBorder="1" applyAlignment="1">
      <alignment/>
    </xf>
    <xf numFmtId="171" fontId="0" fillId="4" borderId="2" xfId="0" applyNumberFormat="1" applyFill="1" applyBorder="1" applyAlignment="1">
      <alignment/>
    </xf>
    <xf numFmtId="0" fontId="0" fillId="4" borderId="3" xfId="0" applyFill="1" applyBorder="1" applyAlignment="1">
      <alignment horizontal="left"/>
    </xf>
    <xf numFmtId="0" fontId="0" fillId="4" borderId="0" xfId="0" applyFill="1" applyBorder="1" applyAlignment="1">
      <alignment/>
    </xf>
    <xf numFmtId="43" fontId="0" fillId="4" borderId="4" xfId="0" applyNumberFormat="1" applyFill="1" applyBorder="1" applyAlignment="1">
      <alignment/>
    </xf>
    <xf numFmtId="173" fontId="0" fillId="4" borderId="4" xfId="0" applyNumberForma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/>
    </xf>
    <xf numFmtId="0" fontId="0" fillId="3" borderId="0" xfId="0" applyFill="1" applyAlignment="1" applyProtection="1">
      <alignment/>
      <protection locked="0"/>
    </xf>
    <xf numFmtId="171" fontId="0" fillId="5" borderId="0" xfId="0" applyNumberFormat="1" applyFill="1" applyAlignment="1">
      <alignment/>
    </xf>
    <xf numFmtId="0" fontId="0" fillId="3" borderId="0" xfId="0" applyFill="1" applyBorder="1" applyAlignment="1">
      <alignment horizontal="left"/>
    </xf>
    <xf numFmtId="9" fontId="0" fillId="3" borderId="0" xfId="21" applyFill="1" applyAlignment="1">
      <alignment/>
    </xf>
    <xf numFmtId="0" fontId="0" fillId="0" borderId="6" xfId="0" applyBorder="1" applyAlignment="1" quotePrefix="1">
      <alignment/>
    </xf>
    <xf numFmtId="16" fontId="0" fillId="2" borderId="8" xfId="0" applyNumberFormat="1" applyFill="1" applyBorder="1" applyAlignment="1">
      <alignment/>
    </xf>
    <xf numFmtId="169" fontId="0" fillId="4" borderId="4" xfId="17" applyNumberFormat="1" applyFill="1" applyBorder="1" applyAlignment="1">
      <alignment/>
    </xf>
    <xf numFmtId="169" fontId="0" fillId="4" borderId="8" xfId="17" applyNumberFormat="1" applyFill="1" applyBorder="1" applyAlignment="1">
      <alignment/>
    </xf>
    <xf numFmtId="0" fontId="7" fillId="6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0" fillId="3" borderId="0" xfId="0" applyFill="1" applyBorder="1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Hay Crop Quantity, Nutritional Quality, and Net Return Per Acre as Harvest Date is Delayed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325"/>
          <c:w val="0.90175"/>
          <c:h val="0.79775"/>
        </c:manualLayout>
      </c:layout>
      <c:lineChart>
        <c:grouping val="standard"/>
        <c:varyColors val="0"/>
        <c:ser>
          <c:idx val="1"/>
          <c:order val="1"/>
          <c:tx>
            <c:v>RFV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Parameters_and_calculations!$E$14:$E$60</c:f>
              <c:strCache>
                <c:ptCount val="47"/>
                <c:pt idx="0">
                  <c:v>38492</c:v>
                </c:pt>
                <c:pt idx="1">
                  <c:v>38493</c:v>
                </c:pt>
                <c:pt idx="2">
                  <c:v>38494</c:v>
                </c:pt>
                <c:pt idx="3">
                  <c:v>38495</c:v>
                </c:pt>
                <c:pt idx="4">
                  <c:v>38496</c:v>
                </c:pt>
                <c:pt idx="5">
                  <c:v>38497</c:v>
                </c:pt>
                <c:pt idx="6">
                  <c:v>38498</c:v>
                </c:pt>
                <c:pt idx="7">
                  <c:v>38499</c:v>
                </c:pt>
                <c:pt idx="8">
                  <c:v>38500</c:v>
                </c:pt>
                <c:pt idx="9">
                  <c:v>38501</c:v>
                </c:pt>
                <c:pt idx="10">
                  <c:v>38502</c:v>
                </c:pt>
                <c:pt idx="11">
                  <c:v>38503</c:v>
                </c:pt>
                <c:pt idx="12">
                  <c:v>38504</c:v>
                </c:pt>
                <c:pt idx="13">
                  <c:v>38505</c:v>
                </c:pt>
                <c:pt idx="14">
                  <c:v>38506</c:v>
                </c:pt>
                <c:pt idx="15">
                  <c:v>38507</c:v>
                </c:pt>
                <c:pt idx="16">
                  <c:v>38508</c:v>
                </c:pt>
                <c:pt idx="17">
                  <c:v>38509</c:v>
                </c:pt>
                <c:pt idx="18">
                  <c:v>38510</c:v>
                </c:pt>
                <c:pt idx="19">
                  <c:v>38511</c:v>
                </c:pt>
                <c:pt idx="20">
                  <c:v>38512</c:v>
                </c:pt>
                <c:pt idx="21">
                  <c:v>38513</c:v>
                </c:pt>
                <c:pt idx="22">
                  <c:v>38514</c:v>
                </c:pt>
                <c:pt idx="23">
                  <c:v>38515</c:v>
                </c:pt>
                <c:pt idx="24">
                  <c:v>38516</c:v>
                </c:pt>
                <c:pt idx="25">
                  <c:v>38517</c:v>
                </c:pt>
                <c:pt idx="26">
                  <c:v>38518</c:v>
                </c:pt>
                <c:pt idx="27">
                  <c:v>38519</c:v>
                </c:pt>
                <c:pt idx="28">
                  <c:v>38520</c:v>
                </c:pt>
                <c:pt idx="29">
                  <c:v>38521</c:v>
                </c:pt>
                <c:pt idx="30">
                  <c:v>38522</c:v>
                </c:pt>
                <c:pt idx="31">
                  <c:v>38523</c:v>
                </c:pt>
                <c:pt idx="32">
                  <c:v>38524</c:v>
                </c:pt>
                <c:pt idx="33">
                  <c:v>38525</c:v>
                </c:pt>
                <c:pt idx="34">
                  <c:v>38526</c:v>
                </c:pt>
                <c:pt idx="35">
                  <c:v>38527</c:v>
                </c:pt>
                <c:pt idx="36">
                  <c:v>38528</c:v>
                </c:pt>
                <c:pt idx="37">
                  <c:v>38529</c:v>
                </c:pt>
                <c:pt idx="38">
                  <c:v>38530</c:v>
                </c:pt>
                <c:pt idx="39">
                  <c:v>38531</c:v>
                </c:pt>
                <c:pt idx="40">
                  <c:v>38532</c:v>
                </c:pt>
                <c:pt idx="41">
                  <c:v>38533</c:v>
                </c:pt>
                <c:pt idx="42">
                  <c:v>38534</c:v>
                </c:pt>
                <c:pt idx="43">
                  <c:v>38535</c:v>
                </c:pt>
                <c:pt idx="44">
                  <c:v>38536</c:v>
                </c:pt>
                <c:pt idx="45">
                  <c:v>38537</c:v>
                </c:pt>
                <c:pt idx="46">
                  <c:v>38538</c:v>
                </c:pt>
              </c:strCache>
            </c:strRef>
          </c:cat>
          <c:val>
            <c:numRef>
              <c:f>Parameters_and_calculations!$H$14:$H$60</c:f>
              <c:numCache>
                <c:ptCount val="47"/>
                <c:pt idx="0">
                  <c:v>170</c:v>
                </c:pt>
                <c:pt idx="1">
                  <c:v>165</c:v>
                </c:pt>
                <c:pt idx="2">
                  <c:v>160</c:v>
                </c:pt>
                <c:pt idx="3">
                  <c:v>155</c:v>
                </c:pt>
                <c:pt idx="4">
                  <c:v>150</c:v>
                </c:pt>
                <c:pt idx="5">
                  <c:v>145</c:v>
                </c:pt>
                <c:pt idx="6">
                  <c:v>140</c:v>
                </c:pt>
                <c:pt idx="7">
                  <c:v>135</c:v>
                </c:pt>
                <c:pt idx="8">
                  <c:v>130</c:v>
                </c:pt>
                <c:pt idx="9">
                  <c:v>125</c:v>
                </c:pt>
                <c:pt idx="10">
                  <c:v>120</c:v>
                </c:pt>
                <c:pt idx="11">
                  <c:v>115</c:v>
                </c:pt>
                <c:pt idx="12">
                  <c:v>110</c:v>
                </c:pt>
                <c:pt idx="13">
                  <c:v>105</c:v>
                </c:pt>
                <c:pt idx="14">
                  <c:v>100</c:v>
                </c:pt>
                <c:pt idx="15">
                  <c:v>95</c:v>
                </c:pt>
                <c:pt idx="16">
                  <c:v>90</c:v>
                </c:pt>
                <c:pt idx="17">
                  <c:v>85</c:v>
                </c:pt>
                <c:pt idx="18">
                  <c:v>80</c:v>
                </c:pt>
                <c:pt idx="19">
                  <c:v>75</c:v>
                </c:pt>
                <c:pt idx="20">
                  <c:v>70</c:v>
                </c:pt>
                <c:pt idx="21">
                  <c:v>65</c:v>
                </c:pt>
                <c:pt idx="22">
                  <c:v>60</c:v>
                </c:pt>
                <c:pt idx="23">
                  <c:v>55</c:v>
                </c:pt>
                <c:pt idx="24">
                  <c:v>50</c:v>
                </c:pt>
                <c:pt idx="25">
                  <c:v>45</c:v>
                </c:pt>
                <c:pt idx="26">
                  <c:v>40</c:v>
                </c:pt>
                <c:pt idx="27">
                  <c:v>35</c:v>
                </c:pt>
                <c:pt idx="28">
                  <c:v>30</c:v>
                </c:pt>
                <c:pt idx="29">
                  <c:v>25</c:v>
                </c:pt>
                <c:pt idx="30">
                  <c:v>20</c:v>
                </c:pt>
                <c:pt idx="31">
                  <c:v>15</c:v>
                </c:pt>
                <c:pt idx="32">
                  <c:v>10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Net Return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Parameters_and_calculations!$E$14:$E$60</c:f>
              <c:strCache>
                <c:ptCount val="47"/>
                <c:pt idx="0">
                  <c:v>38492</c:v>
                </c:pt>
                <c:pt idx="1">
                  <c:v>38493</c:v>
                </c:pt>
                <c:pt idx="2">
                  <c:v>38494</c:v>
                </c:pt>
                <c:pt idx="3">
                  <c:v>38495</c:v>
                </c:pt>
                <c:pt idx="4">
                  <c:v>38496</c:v>
                </c:pt>
                <c:pt idx="5">
                  <c:v>38497</c:v>
                </c:pt>
                <c:pt idx="6">
                  <c:v>38498</c:v>
                </c:pt>
                <c:pt idx="7">
                  <c:v>38499</c:v>
                </c:pt>
                <c:pt idx="8">
                  <c:v>38500</c:v>
                </c:pt>
                <c:pt idx="9">
                  <c:v>38501</c:v>
                </c:pt>
                <c:pt idx="10">
                  <c:v>38502</c:v>
                </c:pt>
                <c:pt idx="11">
                  <c:v>38503</c:v>
                </c:pt>
                <c:pt idx="12">
                  <c:v>38504</c:v>
                </c:pt>
                <c:pt idx="13">
                  <c:v>38505</c:v>
                </c:pt>
                <c:pt idx="14">
                  <c:v>38506</c:v>
                </c:pt>
                <c:pt idx="15">
                  <c:v>38507</c:v>
                </c:pt>
                <c:pt idx="16">
                  <c:v>38508</c:v>
                </c:pt>
                <c:pt idx="17">
                  <c:v>38509</c:v>
                </c:pt>
                <c:pt idx="18">
                  <c:v>38510</c:v>
                </c:pt>
                <c:pt idx="19">
                  <c:v>38511</c:v>
                </c:pt>
                <c:pt idx="20">
                  <c:v>38512</c:v>
                </c:pt>
                <c:pt idx="21">
                  <c:v>38513</c:v>
                </c:pt>
                <c:pt idx="22">
                  <c:v>38514</c:v>
                </c:pt>
                <c:pt idx="23">
                  <c:v>38515</c:v>
                </c:pt>
                <c:pt idx="24">
                  <c:v>38516</c:v>
                </c:pt>
                <c:pt idx="25">
                  <c:v>38517</c:v>
                </c:pt>
                <c:pt idx="26">
                  <c:v>38518</c:v>
                </c:pt>
                <c:pt idx="27">
                  <c:v>38519</c:v>
                </c:pt>
                <c:pt idx="28">
                  <c:v>38520</c:v>
                </c:pt>
                <c:pt idx="29">
                  <c:v>38521</c:v>
                </c:pt>
                <c:pt idx="30">
                  <c:v>38522</c:v>
                </c:pt>
                <c:pt idx="31">
                  <c:v>38523</c:v>
                </c:pt>
                <c:pt idx="32">
                  <c:v>38524</c:v>
                </c:pt>
                <c:pt idx="33">
                  <c:v>38525</c:v>
                </c:pt>
                <c:pt idx="34">
                  <c:v>38526</c:v>
                </c:pt>
                <c:pt idx="35">
                  <c:v>38527</c:v>
                </c:pt>
                <c:pt idx="36">
                  <c:v>38528</c:v>
                </c:pt>
                <c:pt idx="37">
                  <c:v>38529</c:v>
                </c:pt>
                <c:pt idx="38">
                  <c:v>38530</c:v>
                </c:pt>
                <c:pt idx="39">
                  <c:v>38531</c:v>
                </c:pt>
                <c:pt idx="40">
                  <c:v>38532</c:v>
                </c:pt>
                <c:pt idx="41">
                  <c:v>38533</c:v>
                </c:pt>
                <c:pt idx="42">
                  <c:v>38534</c:v>
                </c:pt>
                <c:pt idx="43">
                  <c:v>38535</c:v>
                </c:pt>
                <c:pt idx="44">
                  <c:v>38536</c:v>
                </c:pt>
                <c:pt idx="45">
                  <c:v>38537</c:v>
                </c:pt>
                <c:pt idx="46">
                  <c:v>38538</c:v>
                </c:pt>
              </c:strCache>
            </c:strRef>
          </c:cat>
          <c:val>
            <c:numRef>
              <c:f>Parameters_and_calculations!$K$14:$K$60</c:f>
              <c:numCache>
                <c:ptCount val="47"/>
                <c:pt idx="0">
                  <c:v>75.1</c:v>
                </c:pt>
                <c:pt idx="1">
                  <c:v>76.885</c:v>
                </c:pt>
                <c:pt idx="2">
                  <c:v>78.38000000000001</c:v>
                </c:pt>
                <c:pt idx="3">
                  <c:v>79.58500000000002</c:v>
                </c:pt>
                <c:pt idx="4">
                  <c:v>80.50000000000001</c:v>
                </c:pt>
                <c:pt idx="5">
                  <c:v>81.12500000000001</c:v>
                </c:pt>
                <c:pt idx="6">
                  <c:v>81.46000000000002</c:v>
                </c:pt>
                <c:pt idx="7">
                  <c:v>81.50500000000002</c:v>
                </c:pt>
                <c:pt idx="8">
                  <c:v>81.26000000000003</c:v>
                </c:pt>
                <c:pt idx="9">
                  <c:v>80.72500000000004</c:v>
                </c:pt>
                <c:pt idx="10">
                  <c:v>79.90000000000002</c:v>
                </c:pt>
                <c:pt idx="11">
                  <c:v>78.78500000000004</c:v>
                </c:pt>
                <c:pt idx="12">
                  <c:v>77.38000000000004</c:v>
                </c:pt>
                <c:pt idx="13">
                  <c:v>75.68500000000004</c:v>
                </c:pt>
                <c:pt idx="14">
                  <c:v>73.70000000000003</c:v>
                </c:pt>
                <c:pt idx="15">
                  <c:v>71.42500000000004</c:v>
                </c:pt>
                <c:pt idx="16">
                  <c:v>68.86000000000004</c:v>
                </c:pt>
                <c:pt idx="17">
                  <c:v>66.00500000000005</c:v>
                </c:pt>
                <c:pt idx="18">
                  <c:v>62.860000000000056</c:v>
                </c:pt>
                <c:pt idx="19">
                  <c:v>59.42500000000004</c:v>
                </c:pt>
                <c:pt idx="20">
                  <c:v>55.700000000000045</c:v>
                </c:pt>
                <c:pt idx="21">
                  <c:v>51.68500000000003</c:v>
                </c:pt>
                <c:pt idx="22">
                  <c:v>-21.5</c:v>
                </c:pt>
                <c:pt idx="23">
                  <c:v>-21.5</c:v>
                </c:pt>
                <c:pt idx="24">
                  <c:v>-21.5</c:v>
                </c:pt>
                <c:pt idx="25">
                  <c:v>-21.5</c:v>
                </c:pt>
                <c:pt idx="26">
                  <c:v>-21.5</c:v>
                </c:pt>
                <c:pt idx="27">
                  <c:v>-21.5</c:v>
                </c:pt>
                <c:pt idx="28">
                  <c:v>-21.5</c:v>
                </c:pt>
                <c:pt idx="29">
                  <c:v>-21.5</c:v>
                </c:pt>
                <c:pt idx="30">
                  <c:v>-21.5</c:v>
                </c:pt>
                <c:pt idx="31">
                  <c:v>-21.5</c:v>
                </c:pt>
                <c:pt idx="32">
                  <c:v>-21.5</c:v>
                </c:pt>
                <c:pt idx="33">
                  <c:v>-21.5</c:v>
                </c:pt>
                <c:pt idx="34">
                  <c:v>-21.5</c:v>
                </c:pt>
                <c:pt idx="35">
                  <c:v>-21.5</c:v>
                </c:pt>
                <c:pt idx="36">
                  <c:v>-21.5</c:v>
                </c:pt>
                <c:pt idx="37">
                  <c:v>-21.5</c:v>
                </c:pt>
                <c:pt idx="38">
                  <c:v>-21.5</c:v>
                </c:pt>
                <c:pt idx="39">
                  <c:v>-21.5</c:v>
                </c:pt>
                <c:pt idx="40">
                  <c:v>-21.5</c:v>
                </c:pt>
                <c:pt idx="41">
                  <c:v>-21.5</c:v>
                </c:pt>
                <c:pt idx="42">
                  <c:v>-21.5</c:v>
                </c:pt>
                <c:pt idx="43">
                  <c:v>-21.5</c:v>
                </c:pt>
                <c:pt idx="44">
                  <c:v>-21.5</c:v>
                </c:pt>
                <c:pt idx="45">
                  <c:v>-21.5</c:v>
                </c:pt>
                <c:pt idx="46">
                  <c:v>-21.5</c:v>
                </c:pt>
              </c:numCache>
            </c:numRef>
          </c:val>
          <c:smooth val="0"/>
        </c:ser>
        <c:marker val="1"/>
        <c:axId val="18067794"/>
        <c:axId val="28392419"/>
      </c:lineChart>
      <c:lineChart>
        <c:grouping val="standard"/>
        <c:varyColors val="0"/>
        <c:ser>
          <c:idx val="0"/>
          <c:order val="0"/>
          <c:tx>
            <c:v>Yield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Parameters_and_calculations!$G$14:$G$60</c:f>
              <c:numCache>
                <c:ptCount val="47"/>
                <c:pt idx="0">
                  <c:v>1</c:v>
                </c:pt>
                <c:pt idx="1">
                  <c:v>1.05</c:v>
                </c:pt>
                <c:pt idx="2">
                  <c:v>1.1</c:v>
                </c:pt>
                <c:pt idx="3">
                  <c:v>1.1500000000000001</c:v>
                </c:pt>
                <c:pt idx="4">
                  <c:v>1.2000000000000002</c:v>
                </c:pt>
                <c:pt idx="5">
                  <c:v>1.2500000000000002</c:v>
                </c:pt>
                <c:pt idx="6">
                  <c:v>1.3000000000000003</c:v>
                </c:pt>
                <c:pt idx="7">
                  <c:v>1.3500000000000003</c:v>
                </c:pt>
                <c:pt idx="8">
                  <c:v>1.4000000000000004</c:v>
                </c:pt>
                <c:pt idx="9">
                  <c:v>1.4500000000000004</c:v>
                </c:pt>
                <c:pt idx="10">
                  <c:v>1.5000000000000004</c:v>
                </c:pt>
                <c:pt idx="11">
                  <c:v>1.5500000000000005</c:v>
                </c:pt>
                <c:pt idx="12">
                  <c:v>1.6000000000000005</c:v>
                </c:pt>
                <c:pt idx="13">
                  <c:v>1.6500000000000006</c:v>
                </c:pt>
                <c:pt idx="14">
                  <c:v>1.7000000000000006</c:v>
                </c:pt>
                <c:pt idx="15">
                  <c:v>1.7500000000000007</c:v>
                </c:pt>
                <c:pt idx="16">
                  <c:v>1.8000000000000007</c:v>
                </c:pt>
                <c:pt idx="17">
                  <c:v>1.8500000000000008</c:v>
                </c:pt>
                <c:pt idx="18">
                  <c:v>1.9000000000000008</c:v>
                </c:pt>
                <c:pt idx="19">
                  <c:v>1.9500000000000008</c:v>
                </c:pt>
                <c:pt idx="20">
                  <c:v>2.000000000000001</c:v>
                </c:pt>
                <c:pt idx="21">
                  <c:v>2.0500000000000007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marker val="1"/>
        <c:axId val="54205180"/>
        <c:axId val="18084573"/>
      </c:lineChart>
      <c:dateAx>
        <c:axId val="18067794"/>
        <c:scaling>
          <c:orientation val="minMax"/>
          <c:max val="385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Harvest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crossAx val="28392419"/>
        <c:crossesAt val="-50"/>
        <c:auto val="0"/>
        <c:majorUnit val="4"/>
        <c:majorTimeUnit val="days"/>
        <c:noMultiLvlLbl val="0"/>
      </c:dateAx>
      <c:valAx>
        <c:axId val="28392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RFV &amp; Return/A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67794"/>
        <c:crossesAt val="1"/>
        <c:crossBetween val="between"/>
        <c:dispUnits/>
      </c:valAx>
      <c:dateAx>
        <c:axId val="54205180"/>
        <c:scaling>
          <c:orientation val="minMax"/>
        </c:scaling>
        <c:axPos val="b"/>
        <c:delete val="1"/>
        <c:majorTickMark val="in"/>
        <c:minorTickMark val="none"/>
        <c:tickLblPos val="nextTo"/>
        <c:crossAx val="18084573"/>
        <c:crosses val="autoZero"/>
        <c:auto val="0"/>
        <c:noMultiLvlLbl val="0"/>
      </c:dateAx>
      <c:valAx>
        <c:axId val="18084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Yield, Tons/A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20518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75"/>
          <c:y val="0.76625"/>
          <c:w val="0.2"/>
          <c:h val="0.12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Hay Crop Quantity, Nutritional Quality, and Net Return Per Acre as Harvest Date is Delayed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85"/>
          <c:w val="0.80475"/>
          <c:h val="0.795"/>
        </c:manualLayout>
      </c:layout>
      <c:lineChart>
        <c:grouping val="standard"/>
        <c:varyColors val="0"/>
        <c:ser>
          <c:idx val="1"/>
          <c:order val="1"/>
          <c:tx>
            <c:v>RFV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Parameters_and_calculations!$E$14:$E$60</c:f>
              <c:strCache>
                <c:ptCount val="47"/>
                <c:pt idx="0">
                  <c:v>38492</c:v>
                </c:pt>
                <c:pt idx="1">
                  <c:v>38493</c:v>
                </c:pt>
                <c:pt idx="2">
                  <c:v>38494</c:v>
                </c:pt>
                <c:pt idx="3">
                  <c:v>38495</c:v>
                </c:pt>
                <c:pt idx="4">
                  <c:v>38496</c:v>
                </c:pt>
                <c:pt idx="5">
                  <c:v>38497</c:v>
                </c:pt>
                <c:pt idx="6">
                  <c:v>38498</c:v>
                </c:pt>
                <c:pt idx="7">
                  <c:v>38499</c:v>
                </c:pt>
                <c:pt idx="8">
                  <c:v>38500</c:v>
                </c:pt>
                <c:pt idx="9">
                  <c:v>38501</c:v>
                </c:pt>
                <c:pt idx="10">
                  <c:v>38502</c:v>
                </c:pt>
                <c:pt idx="11">
                  <c:v>38503</c:v>
                </c:pt>
                <c:pt idx="12">
                  <c:v>38504</c:v>
                </c:pt>
                <c:pt idx="13">
                  <c:v>38505</c:v>
                </c:pt>
                <c:pt idx="14">
                  <c:v>38506</c:v>
                </c:pt>
                <c:pt idx="15">
                  <c:v>38507</c:v>
                </c:pt>
                <c:pt idx="16">
                  <c:v>38508</c:v>
                </c:pt>
                <c:pt idx="17">
                  <c:v>38509</c:v>
                </c:pt>
                <c:pt idx="18">
                  <c:v>38510</c:v>
                </c:pt>
                <c:pt idx="19">
                  <c:v>38511</c:v>
                </c:pt>
                <c:pt idx="20">
                  <c:v>38512</c:v>
                </c:pt>
                <c:pt idx="21">
                  <c:v>38513</c:v>
                </c:pt>
                <c:pt idx="22">
                  <c:v>38514</c:v>
                </c:pt>
                <c:pt idx="23">
                  <c:v>38515</c:v>
                </c:pt>
                <c:pt idx="24">
                  <c:v>38516</c:v>
                </c:pt>
                <c:pt idx="25">
                  <c:v>38517</c:v>
                </c:pt>
                <c:pt idx="26">
                  <c:v>38518</c:v>
                </c:pt>
                <c:pt idx="27">
                  <c:v>38519</c:v>
                </c:pt>
                <c:pt idx="28">
                  <c:v>38520</c:v>
                </c:pt>
                <c:pt idx="29">
                  <c:v>38521</c:v>
                </c:pt>
                <c:pt idx="30">
                  <c:v>38522</c:v>
                </c:pt>
                <c:pt idx="31">
                  <c:v>38523</c:v>
                </c:pt>
                <c:pt idx="32">
                  <c:v>38524</c:v>
                </c:pt>
                <c:pt idx="33">
                  <c:v>38525</c:v>
                </c:pt>
                <c:pt idx="34">
                  <c:v>38526</c:v>
                </c:pt>
                <c:pt idx="35">
                  <c:v>38527</c:v>
                </c:pt>
                <c:pt idx="36">
                  <c:v>38528</c:v>
                </c:pt>
                <c:pt idx="37">
                  <c:v>38529</c:v>
                </c:pt>
                <c:pt idx="38">
                  <c:v>38530</c:v>
                </c:pt>
                <c:pt idx="39">
                  <c:v>38531</c:v>
                </c:pt>
                <c:pt idx="40">
                  <c:v>38532</c:v>
                </c:pt>
                <c:pt idx="41">
                  <c:v>38533</c:v>
                </c:pt>
                <c:pt idx="42">
                  <c:v>38534</c:v>
                </c:pt>
                <c:pt idx="43">
                  <c:v>38535</c:v>
                </c:pt>
                <c:pt idx="44">
                  <c:v>38536</c:v>
                </c:pt>
                <c:pt idx="45">
                  <c:v>38537</c:v>
                </c:pt>
                <c:pt idx="46">
                  <c:v>38538</c:v>
                </c:pt>
              </c:strCache>
            </c:strRef>
          </c:cat>
          <c:val>
            <c:numRef>
              <c:f>Parameters_and_calculations!$H$14:$H$60</c:f>
              <c:numCache>
                <c:ptCount val="47"/>
                <c:pt idx="0">
                  <c:v>170</c:v>
                </c:pt>
                <c:pt idx="1">
                  <c:v>165</c:v>
                </c:pt>
                <c:pt idx="2">
                  <c:v>160</c:v>
                </c:pt>
                <c:pt idx="3">
                  <c:v>155</c:v>
                </c:pt>
                <c:pt idx="4">
                  <c:v>150</c:v>
                </c:pt>
                <c:pt idx="5">
                  <c:v>145</c:v>
                </c:pt>
                <c:pt idx="6">
                  <c:v>140</c:v>
                </c:pt>
                <c:pt idx="7">
                  <c:v>135</c:v>
                </c:pt>
                <c:pt idx="8">
                  <c:v>130</c:v>
                </c:pt>
                <c:pt idx="9">
                  <c:v>125</c:v>
                </c:pt>
                <c:pt idx="10">
                  <c:v>120</c:v>
                </c:pt>
                <c:pt idx="11">
                  <c:v>115</c:v>
                </c:pt>
                <c:pt idx="12">
                  <c:v>110</c:v>
                </c:pt>
                <c:pt idx="13">
                  <c:v>105</c:v>
                </c:pt>
                <c:pt idx="14">
                  <c:v>100</c:v>
                </c:pt>
                <c:pt idx="15">
                  <c:v>95</c:v>
                </c:pt>
                <c:pt idx="16">
                  <c:v>90</c:v>
                </c:pt>
                <c:pt idx="17">
                  <c:v>85</c:v>
                </c:pt>
                <c:pt idx="18">
                  <c:v>80</c:v>
                </c:pt>
                <c:pt idx="19">
                  <c:v>75</c:v>
                </c:pt>
                <c:pt idx="20">
                  <c:v>70</c:v>
                </c:pt>
                <c:pt idx="21">
                  <c:v>65</c:v>
                </c:pt>
                <c:pt idx="22">
                  <c:v>60</c:v>
                </c:pt>
                <c:pt idx="23">
                  <c:v>55</c:v>
                </c:pt>
                <c:pt idx="24">
                  <c:v>50</c:v>
                </c:pt>
                <c:pt idx="25">
                  <c:v>45</c:v>
                </c:pt>
                <c:pt idx="26">
                  <c:v>40</c:v>
                </c:pt>
                <c:pt idx="27">
                  <c:v>35</c:v>
                </c:pt>
                <c:pt idx="28">
                  <c:v>30</c:v>
                </c:pt>
                <c:pt idx="29">
                  <c:v>25</c:v>
                </c:pt>
                <c:pt idx="30">
                  <c:v>20</c:v>
                </c:pt>
                <c:pt idx="31">
                  <c:v>15</c:v>
                </c:pt>
                <c:pt idx="32">
                  <c:v>10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Net Return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Parameters_and_calculations!$E$14:$E$60</c:f>
              <c:strCache>
                <c:ptCount val="47"/>
                <c:pt idx="0">
                  <c:v>38492</c:v>
                </c:pt>
                <c:pt idx="1">
                  <c:v>38493</c:v>
                </c:pt>
                <c:pt idx="2">
                  <c:v>38494</c:v>
                </c:pt>
                <c:pt idx="3">
                  <c:v>38495</c:v>
                </c:pt>
                <c:pt idx="4">
                  <c:v>38496</c:v>
                </c:pt>
                <c:pt idx="5">
                  <c:v>38497</c:v>
                </c:pt>
                <c:pt idx="6">
                  <c:v>38498</c:v>
                </c:pt>
                <c:pt idx="7">
                  <c:v>38499</c:v>
                </c:pt>
                <c:pt idx="8">
                  <c:v>38500</c:v>
                </c:pt>
                <c:pt idx="9">
                  <c:v>38501</c:v>
                </c:pt>
                <c:pt idx="10">
                  <c:v>38502</c:v>
                </c:pt>
                <c:pt idx="11">
                  <c:v>38503</c:v>
                </c:pt>
                <c:pt idx="12">
                  <c:v>38504</c:v>
                </c:pt>
                <c:pt idx="13">
                  <c:v>38505</c:v>
                </c:pt>
                <c:pt idx="14">
                  <c:v>38506</c:v>
                </c:pt>
                <c:pt idx="15">
                  <c:v>38507</c:v>
                </c:pt>
                <c:pt idx="16">
                  <c:v>38508</c:v>
                </c:pt>
                <c:pt idx="17">
                  <c:v>38509</c:v>
                </c:pt>
                <c:pt idx="18">
                  <c:v>38510</c:v>
                </c:pt>
                <c:pt idx="19">
                  <c:v>38511</c:v>
                </c:pt>
                <c:pt idx="20">
                  <c:v>38512</c:v>
                </c:pt>
                <c:pt idx="21">
                  <c:v>38513</c:v>
                </c:pt>
                <c:pt idx="22">
                  <c:v>38514</c:v>
                </c:pt>
                <c:pt idx="23">
                  <c:v>38515</c:v>
                </c:pt>
                <c:pt idx="24">
                  <c:v>38516</c:v>
                </c:pt>
                <c:pt idx="25">
                  <c:v>38517</c:v>
                </c:pt>
                <c:pt idx="26">
                  <c:v>38518</c:v>
                </c:pt>
                <c:pt idx="27">
                  <c:v>38519</c:v>
                </c:pt>
                <c:pt idx="28">
                  <c:v>38520</c:v>
                </c:pt>
                <c:pt idx="29">
                  <c:v>38521</c:v>
                </c:pt>
                <c:pt idx="30">
                  <c:v>38522</c:v>
                </c:pt>
                <c:pt idx="31">
                  <c:v>38523</c:v>
                </c:pt>
                <c:pt idx="32">
                  <c:v>38524</c:v>
                </c:pt>
                <c:pt idx="33">
                  <c:v>38525</c:v>
                </c:pt>
                <c:pt idx="34">
                  <c:v>38526</c:v>
                </c:pt>
                <c:pt idx="35">
                  <c:v>38527</c:v>
                </c:pt>
                <c:pt idx="36">
                  <c:v>38528</c:v>
                </c:pt>
                <c:pt idx="37">
                  <c:v>38529</c:v>
                </c:pt>
                <c:pt idx="38">
                  <c:v>38530</c:v>
                </c:pt>
                <c:pt idx="39">
                  <c:v>38531</c:v>
                </c:pt>
                <c:pt idx="40">
                  <c:v>38532</c:v>
                </c:pt>
                <c:pt idx="41">
                  <c:v>38533</c:v>
                </c:pt>
                <c:pt idx="42">
                  <c:v>38534</c:v>
                </c:pt>
                <c:pt idx="43">
                  <c:v>38535</c:v>
                </c:pt>
                <c:pt idx="44">
                  <c:v>38536</c:v>
                </c:pt>
                <c:pt idx="45">
                  <c:v>38537</c:v>
                </c:pt>
                <c:pt idx="46">
                  <c:v>38538</c:v>
                </c:pt>
              </c:strCache>
            </c:strRef>
          </c:cat>
          <c:val>
            <c:numRef>
              <c:f>Parameters_and_calculations!$K$14:$K$60</c:f>
              <c:numCache>
                <c:ptCount val="47"/>
                <c:pt idx="0">
                  <c:v>75.1</c:v>
                </c:pt>
                <c:pt idx="1">
                  <c:v>76.885</c:v>
                </c:pt>
                <c:pt idx="2">
                  <c:v>78.38000000000001</c:v>
                </c:pt>
                <c:pt idx="3">
                  <c:v>79.58500000000002</c:v>
                </c:pt>
                <c:pt idx="4">
                  <c:v>80.50000000000001</c:v>
                </c:pt>
                <c:pt idx="5">
                  <c:v>81.12500000000001</c:v>
                </c:pt>
                <c:pt idx="6">
                  <c:v>81.46000000000002</c:v>
                </c:pt>
                <c:pt idx="7">
                  <c:v>81.50500000000002</c:v>
                </c:pt>
                <c:pt idx="8">
                  <c:v>81.26000000000003</c:v>
                </c:pt>
                <c:pt idx="9">
                  <c:v>80.72500000000004</c:v>
                </c:pt>
                <c:pt idx="10">
                  <c:v>79.90000000000002</c:v>
                </c:pt>
                <c:pt idx="11">
                  <c:v>78.78500000000004</c:v>
                </c:pt>
                <c:pt idx="12">
                  <c:v>77.38000000000004</c:v>
                </c:pt>
                <c:pt idx="13">
                  <c:v>75.68500000000004</c:v>
                </c:pt>
                <c:pt idx="14">
                  <c:v>73.70000000000003</c:v>
                </c:pt>
                <c:pt idx="15">
                  <c:v>71.42500000000004</c:v>
                </c:pt>
                <c:pt idx="16">
                  <c:v>68.86000000000004</c:v>
                </c:pt>
                <c:pt idx="17">
                  <c:v>66.00500000000005</c:v>
                </c:pt>
                <c:pt idx="18">
                  <c:v>62.860000000000056</c:v>
                </c:pt>
                <c:pt idx="19">
                  <c:v>59.42500000000004</c:v>
                </c:pt>
                <c:pt idx="20">
                  <c:v>55.700000000000045</c:v>
                </c:pt>
                <c:pt idx="21">
                  <c:v>51.68500000000003</c:v>
                </c:pt>
                <c:pt idx="22">
                  <c:v>-21.5</c:v>
                </c:pt>
                <c:pt idx="23">
                  <c:v>-21.5</c:v>
                </c:pt>
                <c:pt idx="24">
                  <c:v>-21.5</c:v>
                </c:pt>
                <c:pt idx="25">
                  <c:v>-21.5</c:v>
                </c:pt>
                <c:pt idx="26">
                  <c:v>-21.5</c:v>
                </c:pt>
                <c:pt idx="27">
                  <c:v>-21.5</c:v>
                </c:pt>
                <c:pt idx="28">
                  <c:v>-21.5</c:v>
                </c:pt>
                <c:pt idx="29">
                  <c:v>-21.5</c:v>
                </c:pt>
                <c:pt idx="30">
                  <c:v>-21.5</c:v>
                </c:pt>
                <c:pt idx="31">
                  <c:v>-21.5</c:v>
                </c:pt>
                <c:pt idx="32">
                  <c:v>-21.5</c:v>
                </c:pt>
                <c:pt idx="33">
                  <c:v>-21.5</c:v>
                </c:pt>
                <c:pt idx="34">
                  <c:v>-21.5</c:v>
                </c:pt>
                <c:pt idx="35">
                  <c:v>-21.5</c:v>
                </c:pt>
                <c:pt idx="36">
                  <c:v>-21.5</c:v>
                </c:pt>
                <c:pt idx="37">
                  <c:v>-21.5</c:v>
                </c:pt>
                <c:pt idx="38">
                  <c:v>-21.5</c:v>
                </c:pt>
                <c:pt idx="39">
                  <c:v>-21.5</c:v>
                </c:pt>
                <c:pt idx="40">
                  <c:v>-21.5</c:v>
                </c:pt>
                <c:pt idx="41">
                  <c:v>-21.5</c:v>
                </c:pt>
                <c:pt idx="42">
                  <c:v>-21.5</c:v>
                </c:pt>
                <c:pt idx="43">
                  <c:v>-21.5</c:v>
                </c:pt>
                <c:pt idx="44">
                  <c:v>-21.5</c:v>
                </c:pt>
                <c:pt idx="45">
                  <c:v>-21.5</c:v>
                </c:pt>
                <c:pt idx="46">
                  <c:v>-21.5</c:v>
                </c:pt>
              </c:numCache>
            </c:numRef>
          </c:val>
          <c:smooth val="0"/>
        </c:ser>
        <c:marker val="1"/>
        <c:axId val="28543430"/>
        <c:axId val="55564279"/>
      </c:lineChart>
      <c:lineChart>
        <c:grouping val="standard"/>
        <c:varyColors val="0"/>
        <c:ser>
          <c:idx val="0"/>
          <c:order val="0"/>
          <c:tx>
            <c:v>Yield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Parameters_and_calculations!$G$14:$G$60</c:f>
              <c:numCache>
                <c:ptCount val="47"/>
                <c:pt idx="0">
                  <c:v>1</c:v>
                </c:pt>
                <c:pt idx="1">
                  <c:v>1.05</c:v>
                </c:pt>
                <c:pt idx="2">
                  <c:v>1.1</c:v>
                </c:pt>
                <c:pt idx="3">
                  <c:v>1.1500000000000001</c:v>
                </c:pt>
                <c:pt idx="4">
                  <c:v>1.2000000000000002</c:v>
                </c:pt>
                <c:pt idx="5">
                  <c:v>1.2500000000000002</c:v>
                </c:pt>
                <c:pt idx="6">
                  <c:v>1.3000000000000003</c:v>
                </c:pt>
                <c:pt idx="7">
                  <c:v>1.3500000000000003</c:v>
                </c:pt>
                <c:pt idx="8">
                  <c:v>1.4000000000000004</c:v>
                </c:pt>
                <c:pt idx="9">
                  <c:v>1.4500000000000004</c:v>
                </c:pt>
                <c:pt idx="10">
                  <c:v>1.5000000000000004</c:v>
                </c:pt>
                <c:pt idx="11">
                  <c:v>1.5500000000000005</c:v>
                </c:pt>
                <c:pt idx="12">
                  <c:v>1.6000000000000005</c:v>
                </c:pt>
                <c:pt idx="13">
                  <c:v>1.6500000000000006</c:v>
                </c:pt>
                <c:pt idx="14">
                  <c:v>1.7000000000000006</c:v>
                </c:pt>
                <c:pt idx="15">
                  <c:v>1.7500000000000007</c:v>
                </c:pt>
                <c:pt idx="16">
                  <c:v>1.8000000000000007</c:v>
                </c:pt>
                <c:pt idx="17">
                  <c:v>1.8500000000000008</c:v>
                </c:pt>
                <c:pt idx="18">
                  <c:v>1.9000000000000008</c:v>
                </c:pt>
                <c:pt idx="19">
                  <c:v>1.9500000000000008</c:v>
                </c:pt>
                <c:pt idx="20">
                  <c:v>2.000000000000001</c:v>
                </c:pt>
                <c:pt idx="21">
                  <c:v>2.0500000000000007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marker val="1"/>
        <c:axId val="30316464"/>
        <c:axId val="4412721"/>
      </c:lineChart>
      <c:dateAx>
        <c:axId val="28543430"/>
        <c:scaling>
          <c:orientation val="minMax"/>
          <c:max val="385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Harvest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crossAx val="55564279"/>
        <c:crossesAt val="-50"/>
        <c:auto val="0"/>
        <c:majorUnit val="4"/>
        <c:majorTimeUnit val="days"/>
        <c:noMultiLvlLbl val="0"/>
      </c:dateAx>
      <c:valAx>
        <c:axId val="55564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RFV &amp; Return/A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43430"/>
        <c:crossesAt val="1"/>
        <c:crossBetween val="between"/>
        <c:dispUnits/>
      </c:valAx>
      <c:dateAx>
        <c:axId val="30316464"/>
        <c:scaling>
          <c:orientation val="minMax"/>
        </c:scaling>
        <c:axPos val="b"/>
        <c:delete val="1"/>
        <c:majorTickMark val="in"/>
        <c:minorTickMark val="none"/>
        <c:tickLblPos val="nextTo"/>
        <c:crossAx val="4412721"/>
        <c:crosses val="autoZero"/>
        <c:auto val="0"/>
        <c:noMultiLvlLbl val="0"/>
      </c:dateAx>
      <c:valAx>
        <c:axId val="4412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Yield, Tons/A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3164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44225"/>
          <c:w val="0.12"/>
          <c:h val="0.10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</xdr:row>
      <xdr:rowOff>114300</xdr:rowOff>
    </xdr:from>
    <xdr:to>
      <xdr:col>9</xdr:col>
      <xdr:colOff>114300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000125"/>
          <a:ext cx="2219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95250</xdr:colOff>
      <xdr:row>19</xdr:row>
      <xdr:rowOff>161925</xdr:rowOff>
    </xdr:from>
    <xdr:ext cx="3609975" cy="1285875"/>
    <xdr:sp>
      <xdr:nvSpPr>
        <xdr:cNvPr id="2" name="TextBox 8"/>
        <xdr:cNvSpPr txBox="1">
          <a:spLocks noChangeArrowheads="1"/>
        </xdr:cNvSpPr>
      </xdr:nvSpPr>
      <xdr:spPr>
        <a:xfrm>
          <a:off x="95250" y="3743325"/>
          <a:ext cx="360997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Harvesting cost/A is used to calculate the net revenue/A, but will not affect the estimated profit-maximizing harvest date.  The difference in harvesting cost asyield changes by one ton, on the other hand, may change the harvest date slightly.  A greater difference will tend to shift the harvest date earlier, although the effect will probably be less than the effect of varying the change/day in yield or RFV.</a:t>
          </a:r>
        </a:p>
      </xdr:txBody>
    </xdr:sp>
    <xdr:clientData/>
  </xdr:oneCellAnchor>
  <xdr:twoCellAnchor>
    <xdr:from>
      <xdr:col>0</xdr:col>
      <xdr:colOff>3714750</xdr:colOff>
      <xdr:row>22</xdr:row>
      <xdr:rowOff>9525</xdr:rowOff>
    </xdr:from>
    <xdr:to>
      <xdr:col>0</xdr:col>
      <xdr:colOff>4095750</xdr:colOff>
      <xdr:row>23</xdr:row>
      <xdr:rowOff>66675</xdr:rowOff>
    </xdr:to>
    <xdr:sp>
      <xdr:nvSpPr>
        <xdr:cNvPr id="3" name="AutoShape 11"/>
        <xdr:cNvSpPr>
          <a:spLocks/>
        </xdr:cNvSpPr>
      </xdr:nvSpPr>
      <xdr:spPr>
        <a:xfrm>
          <a:off x="3714750" y="4105275"/>
          <a:ext cx="381000" cy="219075"/>
        </a:xfrm>
        <a:prstGeom prst="rightArrow">
          <a:avLst/>
        </a:prstGeom>
        <a:solidFill>
          <a:srgbClr val="FFFFE1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228600</xdr:colOff>
      <xdr:row>11</xdr:row>
      <xdr:rowOff>19050</xdr:rowOff>
    </xdr:from>
    <xdr:ext cx="4076700" cy="523875"/>
    <xdr:sp>
      <xdr:nvSpPr>
        <xdr:cNvPr id="4" name="TextBox 13"/>
        <xdr:cNvSpPr txBox="1">
          <a:spLocks noChangeArrowheads="1"/>
        </xdr:cNvSpPr>
      </xdr:nvSpPr>
      <xdr:spPr>
        <a:xfrm>
          <a:off x="5734050" y="2038350"/>
          <a:ext cx="40767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changes in RFV are valued by adding or subtracting a premium for each point of RFV above or below a base RFV level.  The base hay price per ton may be changed to fit current market conditions.</a:t>
          </a:r>
        </a:p>
      </xdr:txBody>
    </xdr:sp>
    <xdr:clientData/>
  </xdr:oneCellAnchor>
  <xdr:twoCellAnchor>
    <xdr:from>
      <xdr:col>2</xdr:col>
      <xdr:colOff>409575</xdr:colOff>
      <xdr:row>12</xdr:row>
      <xdr:rowOff>95250</xdr:rowOff>
    </xdr:from>
    <xdr:to>
      <xdr:col>3</xdr:col>
      <xdr:colOff>200025</xdr:colOff>
      <xdr:row>13</xdr:row>
      <xdr:rowOff>104775</xdr:rowOff>
    </xdr:to>
    <xdr:sp>
      <xdr:nvSpPr>
        <xdr:cNvPr id="5" name="AutoShape 14"/>
        <xdr:cNvSpPr>
          <a:spLocks/>
        </xdr:cNvSpPr>
      </xdr:nvSpPr>
      <xdr:spPr>
        <a:xfrm>
          <a:off x="5305425" y="2352675"/>
          <a:ext cx="400050" cy="200025"/>
        </a:xfrm>
        <a:prstGeom prst="leftArrow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123825</xdr:rowOff>
    </xdr:from>
    <xdr:to>
      <xdr:col>15</xdr:col>
      <xdr:colOff>47625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62400" y="123825"/>
        <a:ext cx="52292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80"/>
  <sheetViews>
    <sheetView tabSelected="1" zoomScale="90" zoomScaleNormal="90" workbookViewId="0" topLeftCell="A1">
      <selection activeCell="B4" sqref="B4"/>
    </sheetView>
  </sheetViews>
  <sheetFormatPr defaultColWidth="9.140625" defaultRowHeight="12.75"/>
  <cols>
    <col min="1" max="1" width="62.28125" style="21" customWidth="1"/>
    <col min="2" max="2" width="11.140625" style="21" bestFit="1" customWidth="1"/>
    <col min="3" max="3" width="9.140625" style="21" customWidth="1"/>
    <col min="4" max="4" width="10.421875" style="21" customWidth="1"/>
    <col min="5" max="5" width="11.140625" style="21" customWidth="1"/>
    <col min="6" max="6" width="10.28125" style="21" customWidth="1"/>
    <col min="7" max="7" width="12.140625" style="21" customWidth="1"/>
    <col min="8" max="10" width="8.140625" style="21" customWidth="1"/>
    <col min="11" max="16384" width="9.140625" style="21" customWidth="1"/>
  </cols>
  <sheetData>
    <row r="1" spans="1:5" ht="31.5" customHeight="1">
      <c r="A1" s="101" t="s">
        <v>47</v>
      </c>
      <c r="B1" s="101"/>
      <c r="C1" s="101"/>
      <c r="D1" s="101"/>
      <c r="E1" s="102"/>
    </row>
    <row r="2" spans="1:5" s="22" customFormat="1" ht="12.75">
      <c r="A2" s="37"/>
      <c r="B2" s="41" t="s">
        <v>7</v>
      </c>
      <c r="C2" s="37"/>
      <c r="D2" s="37"/>
      <c r="E2" s="37"/>
    </row>
    <row r="3" spans="1:3" ht="12.75">
      <c r="A3" s="23" t="s">
        <v>16</v>
      </c>
      <c r="B3" s="58">
        <v>38492</v>
      </c>
      <c r="C3" s="26"/>
    </row>
    <row r="4" spans="1:3" ht="12.75">
      <c r="A4" s="27" t="s">
        <v>15</v>
      </c>
      <c r="B4" s="59">
        <v>1</v>
      </c>
      <c r="C4" s="25" t="s">
        <v>25</v>
      </c>
    </row>
    <row r="5" spans="1:3" ht="12.75">
      <c r="A5" s="51" t="s">
        <v>19</v>
      </c>
      <c r="B5" s="39"/>
      <c r="C5" s="25"/>
    </row>
    <row r="6" spans="1:3" ht="12.75">
      <c r="A6" s="52" t="s">
        <v>17</v>
      </c>
      <c r="B6" s="60">
        <v>200</v>
      </c>
      <c r="C6" s="28" t="s">
        <v>35</v>
      </c>
    </row>
    <row r="7" spans="1:3" ht="12.75">
      <c r="A7" s="53" t="s">
        <v>14</v>
      </c>
      <c r="B7" s="61">
        <v>0.15</v>
      </c>
      <c r="C7" s="26" t="s">
        <v>36</v>
      </c>
    </row>
    <row r="8" spans="1:3" ht="12.75">
      <c r="A8" s="54" t="s">
        <v>20</v>
      </c>
      <c r="B8" s="40">
        <f>B6*(1-B7)</f>
        <v>170</v>
      </c>
      <c r="C8" s="25" t="s">
        <v>34</v>
      </c>
    </row>
    <row r="9" spans="1:3" ht="12.75">
      <c r="A9" s="27" t="s">
        <v>38</v>
      </c>
      <c r="B9" s="22"/>
      <c r="C9" s="25"/>
    </row>
    <row r="10" spans="1:3" ht="12.75">
      <c r="A10" s="52" t="s">
        <v>21</v>
      </c>
      <c r="B10" s="65">
        <v>200</v>
      </c>
      <c r="C10" s="25" t="s">
        <v>33</v>
      </c>
    </row>
    <row r="11" spans="1:3" ht="12.75">
      <c r="A11" s="52" t="s">
        <v>0</v>
      </c>
      <c r="B11" s="65">
        <v>-5</v>
      </c>
      <c r="C11" s="29" t="s">
        <v>18</v>
      </c>
    </row>
    <row r="12" spans="1:3" ht="18.75" customHeight="1">
      <c r="A12" s="52"/>
      <c r="B12" s="60"/>
      <c r="C12" s="29"/>
    </row>
    <row r="13" spans="1:3" ht="15">
      <c r="A13" s="55" t="s">
        <v>37</v>
      </c>
      <c r="B13" s="60">
        <v>150</v>
      </c>
      <c r="C13" s="30" t="s">
        <v>0</v>
      </c>
    </row>
    <row r="14" spans="1:3" ht="12.75">
      <c r="A14" s="27" t="str">
        <f>"Enter the Price of the base "&amp;B13&amp;" RFV hay"</f>
        <v>Enter the Price of the base 150 RFV hay</v>
      </c>
      <c r="B14" s="62">
        <v>90</v>
      </c>
      <c r="C14" s="49" t="s">
        <v>24</v>
      </c>
    </row>
    <row r="15" spans="1:3" ht="12.75">
      <c r="A15" s="27" t="str">
        <f>"Premium per point of RFV +/- "&amp;B13</f>
        <v>Premium per point of RFV +/- 150</v>
      </c>
      <c r="B15" s="66">
        <v>0.8</v>
      </c>
      <c r="C15" s="29"/>
    </row>
    <row r="16" ht="12.75">
      <c r="B16" s="31"/>
    </row>
    <row r="17" spans="1:3" ht="12.75">
      <c r="A17" s="23" t="s">
        <v>26</v>
      </c>
      <c r="B17" s="63">
        <v>29</v>
      </c>
      <c r="C17" s="56" t="s">
        <v>46</v>
      </c>
    </row>
    <row r="18" spans="1:3" ht="12.75">
      <c r="A18" s="27" t="s">
        <v>27</v>
      </c>
      <c r="B18" s="64">
        <v>1.5</v>
      </c>
      <c r="C18" s="24" t="s">
        <v>25</v>
      </c>
    </row>
    <row r="19" spans="1:3" s="36" customFormat="1" ht="25.5">
      <c r="A19" s="38" t="s">
        <v>28</v>
      </c>
      <c r="B19" s="67">
        <v>5</v>
      </c>
      <c r="C19" s="57" t="s">
        <v>24</v>
      </c>
    </row>
    <row r="20" s="42" customFormat="1" ht="15" customHeight="1" thickBot="1">
      <c r="B20" s="43" t="s">
        <v>8</v>
      </c>
    </row>
    <row r="21" spans="2:3" s="42" customFormat="1" ht="12.75">
      <c r="B21" s="44">
        <f>INDEX(Parameters_and_calculations!E14:E60,MATCH(B26,Parameters_and_calculations!K14:K60,0))</f>
        <v>38500</v>
      </c>
      <c r="C21" s="45" t="s">
        <v>23</v>
      </c>
    </row>
    <row r="22" spans="2:3" s="42" customFormat="1" ht="12.75">
      <c r="B22" s="47">
        <f>INDEX(Parameters_and_calculations!G14:G60,MATCH(B26,Parameters_and_calculations!K14:K60,0))</f>
        <v>1.8000000000000007</v>
      </c>
      <c r="C22" s="45" t="s">
        <v>22</v>
      </c>
    </row>
    <row r="23" spans="2:3" s="42" customFormat="1" ht="12.75">
      <c r="B23" s="46">
        <f>INDEX(Parameters_and_calculations!H14:H60,MATCH(B26,Parameters_and_calculations!K14:K60,0))</f>
        <v>130</v>
      </c>
      <c r="C23" s="45" t="s">
        <v>29</v>
      </c>
    </row>
    <row r="24" spans="2:3" s="42" customFormat="1" ht="12.75">
      <c r="B24" s="50">
        <f>INDEX(Parameters_and_calculations!J14:J60,MATCH(B26,Parameters_and_calculations!K14:K60,0))/B22</f>
        <v>74</v>
      </c>
      <c r="C24" s="45" t="s">
        <v>30</v>
      </c>
    </row>
    <row r="25" spans="2:3" s="42" customFormat="1" ht="12.75">
      <c r="B25" s="50">
        <f>B24*B22-B26</f>
        <v>30.5</v>
      </c>
      <c r="C25" s="42" t="s">
        <v>31</v>
      </c>
    </row>
    <row r="26" spans="2:3" s="42" customFormat="1" ht="13.5" thickBot="1">
      <c r="B26" s="48">
        <f>MAX(Parameters_and_calculations!K14:K60)</f>
        <v>102.70000000000005</v>
      </c>
      <c r="C26" s="45" t="s">
        <v>32</v>
      </c>
    </row>
    <row r="27" s="42" customFormat="1" ht="12.75"/>
    <row r="28" s="42" customFormat="1" ht="12.75"/>
    <row r="29" s="42" customFormat="1" ht="12.75"/>
    <row r="30" s="42" customFormat="1" ht="12.75"/>
    <row r="31" s="42" customFormat="1" ht="12.75"/>
    <row r="32" s="42" customFormat="1" ht="12.75"/>
    <row r="52" spans="3:5" ht="12.75">
      <c r="C52" s="32"/>
      <c r="D52" s="22"/>
      <c r="E52" s="22"/>
    </row>
    <row r="53" spans="3:5" ht="12.75">
      <c r="C53" s="32"/>
      <c r="D53" s="22"/>
      <c r="E53" s="22"/>
    </row>
    <row r="71" ht="12.75">
      <c r="A71" s="33"/>
    </row>
    <row r="72" ht="12.75">
      <c r="A72" s="33"/>
    </row>
    <row r="73" ht="12.75">
      <c r="A73" s="33"/>
    </row>
    <row r="74" ht="12.75">
      <c r="A74" s="33"/>
    </row>
    <row r="75" ht="12.75">
      <c r="A75" s="33"/>
    </row>
    <row r="76" ht="12.75">
      <c r="A76" s="33"/>
    </row>
    <row r="77" ht="12.75">
      <c r="A77" s="33"/>
    </row>
    <row r="78" ht="12.75">
      <c r="A78" s="33"/>
    </row>
    <row r="79" ht="12.75">
      <c r="A79" s="33"/>
    </row>
    <row r="80" ht="12.75">
      <c r="A80" s="33"/>
    </row>
  </sheetData>
  <sheetProtection sheet="1" objects="1" scenarios="1"/>
  <mergeCells count="1">
    <mergeCell ref="A1:E1"/>
  </mergeCells>
  <dataValidations count="1">
    <dataValidation allowBlank="1" showInputMessage="1" showErrorMessage="1" error="May not be more than 21 days later than start date!" sqref="C7"/>
  </dataValidations>
  <printOptions/>
  <pageMargins left="0.75" right="0.75" top="1" bottom="1" header="0.5" footer="0.5"/>
  <pageSetup fitToHeight="1" fitToWidth="1" horizontalDpi="600" verticalDpi="600" orientation="landscape" scale="81" r:id="rId4"/>
  <drawing r:id="rId3"/>
  <legacyDrawing r:id="rId2"/>
  <oleObjects>
    <oleObject progId="MSPhotoEd.3" shapeId="7246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H31"/>
  <sheetViews>
    <sheetView workbookViewId="0" topLeftCell="A1">
      <selection activeCell="E5" sqref="E5"/>
    </sheetView>
  </sheetViews>
  <sheetFormatPr defaultColWidth="9.140625" defaultRowHeight="12.75"/>
  <cols>
    <col min="1" max="16384" width="9.140625" style="21" customWidth="1"/>
  </cols>
  <sheetData>
    <row r="1" ht="12.75">
      <c r="B1" s="77" t="s">
        <v>44</v>
      </c>
    </row>
    <row r="3" spans="2:6" ht="12.75">
      <c r="B3" s="69" t="s">
        <v>16</v>
      </c>
      <c r="F3" s="94">
        <f>Calculations!B3</f>
        <v>38492</v>
      </c>
    </row>
    <row r="4" ht="12.75">
      <c r="B4" s="95" t="s">
        <v>43</v>
      </c>
    </row>
    <row r="5" ht="12.75">
      <c r="C5" s="70" t="s">
        <v>41</v>
      </c>
    </row>
    <row r="6" spans="3:4" ht="12.75">
      <c r="C6" s="75" t="s">
        <v>40</v>
      </c>
      <c r="D6" s="73">
        <f>Calculations!B10</f>
        <v>200</v>
      </c>
    </row>
    <row r="8" spans="2:6" ht="12.75">
      <c r="B8" s="21">
        <f>Calculations!B10*0.5</f>
        <v>100</v>
      </c>
      <c r="D8" s="71">
        <f>Calculations!B10*(1+H10)</f>
        <v>200</v>
      </c>
      <c r="F8" s="21">
        <f>Calculations!B10*1.5</f>
        <v>300</v>
      </c>
    </row>
    <row r="9" ht="12.75">
      <c r="H9" s="93">
        <v>10</v>
      </c>
    </row>
    <row r="10" spans="3:8" ht="12.75">
      <c r="C10" s="21" t="s">
        <v>42</v>
      </c>
      <c r="H10" s="96">
        <f>(scr_yld-10)*0.05</f>
        <v>0</v>
      </c>
    </row>
    <row r="11" spans="3:4" ht="12.75">
      <c r="C11" s="75" t="s">
        <v>40</v>
      </c>
      <c r="D11" s="73">
        <f>Calculations!B11</f>
        <v>-5</v>
      </c>
    </row>
    <row r="13" spans="2:6" ht="12.75">
      <c r="B13" s="78">
        <f>Calculations!B11*2</f>
        <v>-10</v>
      </c>
      <c r="D13" s="71">
        <f>Calculations!B11*(1-H15)</f>
        <v>-5</v>
      </c>
      <c r="F13" s="79">
        <v>0</v>
      </c>
    </row>
    <row r="14" ht="12.75">
      <c r="H14" s="93">
        <v>10</v>
      </c>
    </row>
    <row r="15" spans="2:8" ht="12.75">
      <c r="B15" s="68" t="str">
        <f>"Premium per point of RFV +/- "&amp;C14</f>
        <v>Premium per point of RFV +/- </v>
      </c>
      <c r="H15" s="96">
        <f>(scr_rfv-10)*0.1</f>
        <v>0</v>
      </c>
    </row>
    <row r="16" spans="3:4" ht="12.75">
      <c r="C16" s="76" t="s">
        <v>40</v>
      </c>
      <c r="D16" s="74">
        <f>Calculations!B15</f>
        <v>0.8</v>
      </c>
    </row>
    <row r="18" spans="2:6" ht="12.75">
      <c r="B18" s="80">
        <v>0</v>
      </c>
      <c r="C18" s="81"/>
      <c r="D18" s="72">
        <f>Calculations!B15*(1+H20)</f>
        <v>0.8</v>
      </c>
      <c r="E18" s="81"/>
      <c r="F18" s="80">
        <f>Calculations!B15*2</f>
        <v>1.6</v>
      </c>
    </row>
    <row r="19" ht="12.75">
      <c r="H19" s="93">
        <v>10</v>
      </c>
    </row>
    <row r="20" spans="2:8" ht="26.25" customHeight="1">
      <c r="B20" s="103" t="s">
        <v>39</v>
      </c>
      <c r="C20" s="104"/>
      <c r="D20" s="104"/>
      <c r="E20" s="104"/>
      <c r="F20" s="104"/>
      <c r="H20" s="96">
        <f>(scr_price-10)*0.1</f>
        <v>0</v>
      </c>
    </row>
    <row r="21" spans="2:4" ht="12.75">
      <c r="B21" s="22"/>
      <c r="C21" s="76" t="s">
        <v>40</v>
      </c>
      <c r="D21" s="74">
        <f>Calculations!B19</f>
        <v>5</v>
      </c>
    </row>
    <row r="22" ht="16.5" customHeight="1"/>
    <row r="23" spans="2:6" ht="12.75">
      <c r="B23" s="81">
        <v>0</v>
      </c>
      <c r="C23" s="81"/>
      <c r="D23" s="72">
        <f>Calculations!B19*(1+H25)</f>
        <v>5</v>
      </c>
      <c r="E23" s="81"/>
      <c r="F23" s="81">
        <f>Calculations!B19*2</f>
        <v>10</v>
      </c>
    </row>
    <row r="24" ht="12.75">
      <c r="H24" s="93">
        <v>10</v>
      </c>
    </row>
    <row r="25" spans="6:8" ht="13.5" thickBot="1">
      <c r="F25" s="82" t="s">
        <v>8</v>
      </c>
      <c r="H25" s="96">
        <f>(scr_cost-10)*0.1</f>
        <v>0</v>
      </c>
    </row>
    <row r="26" spans="2:6" ht="12.75">
      <c r="B26" s="83" t="s">
        <v>45</v>
      </c>
      <c r="C26" s="84"/>
      <c r="D26" s="84"/>
      <c r="E26" s="84"/>
      <c r="F26" s="85">
        <f>Calculations!B21</f>
        <v>38500</v>
      </c>
    </row>
    <row r="27" spans="2:6" ht="12.75">
      <c r="B27" s="86" t="s">
        <v>22</v>
      </c>
      <c r="C27" s="87"/>
      <c r="D27" s="87"/>
      <c r="E27" s="87"/>
      <c r="F27" s="88">
        <f>Calculations!B22</f>
        <v>1.8000000000000007</v>
      </c>
    </row>
    <row r="28" spans="2:6" ht="12.75">
      <c r="B28" s="86" t="s">
        <v>29</v>
      </c>
      <c r="C28" s="87"/>
      <c r="D28" s="87"/>
      <c r="E28" s="87"/>
      <c r="F28" s="89">
        <f>Calculations!B23</f>
        <v>130</v>
      </c>
    </row>
    <row r="29" spans="2:6" ht="12.75">
      <c r="B29" s="86" t="s">
        <v>30</v>
      </c>
      <c r="C29" s="87"/>
      <c r="D29" s="87"/>
      <c r="E29" s="87"/>
      <c r="F29" s="99">
        <f>Calculations!B24</f>
        <v>74</v>
      </c>
    </row>
    <row r="30" spans="2:6" ht="12.75">
      <c r="B30" s="90" t="s">
        <v>31</v>
      </c>
      <c r="C30" s="87"/>
      <c r="D30" s="87"/>
      <c r="E30" s="87"/>
      <c r="F30" s="99">
        <f>Calculations!B25</f>
        <v>30.5</v>
      </c>
    </row>
    <row r="31" spans="2:6" ht="13.5" thickBot="1">
      <c r="B31" s="91" t="s">
        <v>32</v>
      </c>
      <c r="C31" s="92"/>
      <c r="D31" s="92"/>
      <c r="E31" s="92"/>
      <c r="F31" s="100">
        <f>Calculations!B26</f>
        <v>102.70000000000005</v>
      </c>
    </row>
  </sheetData>
  <sheetProtection sheet="1" objects="1" scenarios="1"/>
  <mergeCells count="1">
    <mergeCell ref="B20:F20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60"/>
  <sheetViews>
    <sheetView workbookViewId="0" topLeftCell="A1">
      <selection activeCell="B27" sqref="B27"/>
    </sheetView>
  </sheetViews>
  <sheetFormatPr defaultColWidth="9.140625" defaultRowHeight="12.75"/>
  <cols>
    <col min="1" max="1" width="37.00390625" style="0" customWidth="1"/>
  </cols>
  <sheetData>
    <row r="1" ht="12.75">
      <c r="A1" t="s">
        <v>13</v>
      </c>
    </row>
    <row r="2" ht="13.5" thickBot="1"/>
    <row r="3" spans="1:2" ht="12.75">
      <c r="A3" s="2" t="s">
        <v>6</v>
      </c>
      <c r="B3" s="3">
        <v>2</v>
      </c>
    </row>
    <row r="4" spans="1:2" ht="12.75">
      <c r="A4" s="4" t="s">
        <v>11</v>
      </c>
      <c r="B4" s="5"/>
    </row>
    <row r="5" spans="1:2" ht="13.5" thickBot="1">
      <c r="A5" s="97" t="s">
        <v>12</v>
      </c>
      <c r="B5" s="98">
        <v>38513</v>
      </c>
    </row>
    <row r="12" ht="13.5" thickBot="1">
      <c r="E12" s="1" t="s">
        <v>10</v>
      </c>
    </row>
    <row r="13" spans="5:11" ht="39" thickBot="1">
      <c r="E13" s="6" t="s">
        <v>9</v>
      </c>
      <c r="F13" s="7" t="s">
        <v>1</v>
      </c>
      <c r="G13" s="7" t="s">
        <v>3</v>
      </c>
      <c r="H13" s="7" t="s">
        <v>0</v>
      </c>
      <c r="I13" s="7" t="s">
        <v>2</v>
      </c>
      <c r="J13" s="7" t="s">
        <v>4</v>
      </c>
      <c r="K13" s="8" t="s">
        <v>5</v>
      </c>
    </row>
    <row r="14" spans="5:11" ht="12.75">
      <c r="E14" s="15">
        <f>Calculations!B3</f>
        <v>38492</v>
      </c>
      <c r="F14" s="16">
        <v>1</v>
      </c>
      <c r="G14" s="34">
        <f>Calculations!B4</f>
        <v>1</v>
      </c>
      <c r="H14" s="16">
        <f>Calculations!B8</f>
        <v>170</v>
      </c>
      <c r="I14" s="17">
        <f>IF(Calculations!$B$14+(H14-Calculations!$B$13)*Sensitivity_analysis!$D$18&gt;0,Calculations!$B$14+(H14-Calculations!$B$13)*Sensitivity_analysis!$D$18,0)</f>
        <v>106</v>
      </c>
      <c r="J14" s="17">
        <f aca="true" t="shared" si="0" ref="J14:J60">G14*I14</f>
        <v>106</v>
      </c>
      <c r="K14" s="18">
        <f>J14-(Calculations!$B$17+Sensitivity_analysis!$D$23*(G14-Calculations!$B$18))</f>
        <v>79.5</v>
      </c>
    </row>
    <row r="15" spans="5:11" ht="12.75">
      <c r="E15" s="9">
        <f aca="true" t="shared" si="1" ref="E15:E60">E14+1</f>
        <v>38493</v>
      </c>
      <c r="F15" s="19">
        <f aca="true" t="shared" si="2" ref="F15:F60">F14+1</f>
        <v>2</v>
      </c>
      <c r="G15" s="35">
        <f>IF(E15&lt;=$B$5,G14+Sensitivity_analysis!$D$8/2000,0)</f>
        <v>1.1</v>
      </c>
      <c r="H15" s="19">
        <f>IF(H14+Sensitivity_analysis!$D$13&gt;0,H14+Sensitivity_analysis!$D$13,0)</f>
        <v>165</v>
      </c>
      <c r="I15" s="10">
        <f>IF(Calculations!$B$14+(H15-Calculations!$B$13)*Sensitivity_analysis!$D$18&gt;0,Calculations!$B$14+(H15-Calculations!$B$13)*Sensitivity_analysis!$D$18,0)</f>
        <v>102</v>
      </c>
      <c r="J15" s="10">
        <f t="shared" si="0"/>
        <v>112.2</v>
      </c>
      <c r="K15" s="11">
        <f>J15-(Calculations!$B$17+Sensitivity_analysis!$D$23*(G15-Calculations!$B$18))</f>
        <v>85.2</v>
      </c>
    </row>
    <row r="16" spans="5:11" ht="12.75">
      <c r="E16" s="9">
        <f t="shared" si="1"/>
        <v>38494</v>
      </c>
      <c r="F16" s="19">
        <f t="shared" si="2"/>
        <v>3</v>
      </c>
      <c r="G16" s="35">
        <f>IF(E16&lt;=$B$5,G15+Sensitivity_analysis!$D$8/2000,0)</f>
        <v>1.2000000000000002</v>
      </c>
      <c r="H16" s="19">
        <f>IF(H15+Sensitivity_analysis!$D$13&gt;0,H15+Sensitivity_analysis!$D$13,0)</f>
        <v>160</v>
      </c>
      <c r="I16" s="10">
        <f>IF(Calculations!$B$14+(H16-Calculations!$B$13)*Sensitivity_analysis!$D$18&gt;0,Calculations!$B$14+(H16-Calculations!$B$13)*Sensitivity_analysis!$D$18,0)</f>
        <v>98</v>
      </c>
      <c r="J16" s="10">
        <f t="shared" si="0"/>
        <v>117.60000000000002</v>
      </c>
      <c r="K16" s="11">
        <f>J16-(Calculations!$B$17+Sensitivity_analysis!$D$23*(G16-Calculations!$B$18))</f>
        <v>90.10000000000002</v>
      </c>
    </row>
    <row r="17" spans="5:11" ht="12.75">
      <c r="E17" s="9">
        <f t="shared" si="1"/>
        <v>38495</v>
      </c>
      <c r="F17" s="19">
        <f t="shared" si="2"/>
        <v>4</v>
      </c>
      <c r="G17" s="35">
        <f>IF(E17&lt;=$B$5,G16+Sensitivity_analysis!$D$8/2000,0)</f>
        <v>1.3000000000000003</v>
      </c>
      <c r="H17" s="19">
        <f>IF(H16+Sensitivity_analysis!$D$13&gt;0,H16+Sensitivity_analysis!$D$13,0)</f>
        <v>155</v>
      </c>
      <c r="I17" s="10">
        <f>IF(Calculations!$B$14+(H17-Calculations!$B$13)*Sensitivity_analysis!$D$18&gt;0,Calculations!$B$14+(H17-Calculations!$B$13)*Sensitivity_analysis!$D$18,0)</f>
        <v>94</v>
      </c>
      <c r="J17" s="10">
        <f t="shared" si="0"/>
        <v>122.20000000000003</v>
      </c>
      <c r="K17" s="11">
        <f>J17-(Calculations!$B$17+Sensitivity_analysis!$D$23*(G17-Calculations!$B$18))</f>
        <v>94.20000000000003</v>
      </c>
    </row>
    <row r="18" spans="5:11" ht="12.75">
      <c r="E18" s="9">
        <f t="shared" si="1"/>
        <v>38496</v>
      </c>
      <c r="F18" s="19">
        <f t="shared" si="2"/>
        <v>5</v>
      </c>
      <c r="G18" s="35">
        <f>IF(E18&lt;=$B$5,G17+Sensitivity_analysis!$D$8/2000,0)</f>
        <v>1.4000000000000004</v>
      </c>
      <c r="H18" s="19">
        <f>IF(H17+Sensitivity_analysis!$D$13&gt;0,H17+Sensitivity_analysis!$D$13,0)</f>
        <v>150</v>
      </c>
      <c r="I18" s="10">
        <f>IF(Calculations!$B$14+(H18-Calculations!$B$13)*Sensitivity_analysis!$D$18&gt;0,Calculations!$B$14+(H18-Calculations!$B$13)*Sensitivity_analysis!$D$18,0)</f>
        <v>90</v>
      </c>
      <c r="J18" s="10">
        <f t="shared" si="0"/>
        <v>126.00000000000003</v>
      </c>
      <c r="K18" s="11">
        <f>J18-(Calculations!$B$17+Sensitivity_analysis!$D$23*(G18-Calculations!$B$18))</f>
        <v>97.50000000000003</v>
      </c>
    </row>
    <row r="19" spans="5:11" ht="12.75">
      <c r="E19" s="9">
        <f t="shared" si="1"/>
        <v>38497</v>
      </c>
      <c r="F19" s="19">
        <f t="shared" si="2"/>
        <v>6</v>
      </c>
      <c r="G19" s="35">
        <f>IF(E19&lt;=$B$5,G18+Sensitivity_analysis!$D$8/2000,0)</f>
        <v>1.5000000000000004</v>
      </c>
      <c r="H19" s="19">
        <f>IF(H18+Sensitivity_analysis!$D$13&gt;0,H18+Sensitivity_analysis!$D$13,0)</f>
        <v>145</v>
      </c>
      <c r="I19" s="10">
        <f>IF(Calculations!$B$14+(H19-Calculations!$B$13)*Sensitivity_analysis!$D$18&gt;0,Calculations!$B$14+(H19-Calculations!$B$13)*Sensitivity_analysis!$D$18,0)</f>
        <v>86</v>
      </c>
      <c r="J19" s="10">
        <f t="shared" si="0"/>
        <v>129.00000000000003</v>
      </c>
      <c r="K19" s="11">
        <f>J19-(Calculations!$B$17+Sensitivity_analysis!$D$23*(G19-Calculations!$B$18))</f>
        <v>100.00000000000003</v>
      </c>
    </row>
    <row r="20" spans="5:11" ht="12.75">
      <c r="E20" s="9">
        <f t="shared" si="1"/>
        <v>38498</v>
      </c>
      <c r="F20" s="19">
        <f t="shared" si="2"/>
        <v>7</v>
      </c>
      <c r="G20" s="35">
        <f>IF(E20&lt;=$B$5,G19+Sensitivity_analysis!$D$8/2000,0)</f>
        <v>1.6000000000000005</v>
      </c>
      <c r="H20" s="19">
        <f>IF(H19+Sensitivity_analysis!$D$13&gt;0,H19+Sensitivity_analysis!$D$13,0)</f>
        <v>140</v>
      </c>
      <c r="I20" s="10">
        <f>IF(Calculations!$B$14+(H20-Calculations!$B$13)*Sensitivity_analysis!$D$18&gt;0,Calculations!$B$14+(H20-Calculations!$B$13)*Sensitivity_analysis!$D$18,0)</f>
        <v>82</v>
      </c>
      <c r="J20" s="10">
        <f t="shared" si="0"/>
        <v>131.20000000000005</v>
      </c>
      <c r="K20" s="11">
        <f>J20-(Calculations!$B$17+Sensitivity_analysis!$D$23*(G20-Calculations!$B$18))</f>
        <v>101.70000000000005</v>
      </c>
    </row>
    <row r="21" spans="5:11" ht="12.75">
      <c r="E21" s="9">
        <f t="shared" si="1"/>
        <v>38499</v>
      </c>
      <c r="F21" s="19">
        <f t="shared" si="2"/>
        <v>8</v>
      </c>
      <c r="G21" s="35">
        <f>IF(E21&lt;=$B$5,G20+Sensitivity_analysis!$D$8/2000,0)</f>
        <v>1.7000000000000006</v>
      </c>
      <c r="H21" s="19">
        <f>IF(H20+Sensitivity_analysis!$D$13&gt;0,H20+Sensitivity_analysis!$D$13,0)</f>
        <v>135</v>
      </c>
      <c r="I21" s="10">
        <f>IF(Calculations!$B$14+(H21-Calculations!$B$13)*Sensitivity_analysis!$D$18&gt;0,Calculations!$B$14+(H21-Calculations!$B$13)*Sensitivity_analysis!$D$18,0)</f>
        <v>78</v>
      </c>
      <c r="J21" s="10">
        <f t="shared" si="0"/>
        <v>132.60000000000005</v>
      </c>
      <c r="K21" s="11">
        <f>J21-(Calculations!$B$17+Sensitivity_analysis!$D$23*(G21-Calculations!$B$18))</f>
        <v>102.60000000000005</v>
      </c>
    </row>
    <row r="22" spans="5:11" ht="12.75">
      <c r="E22" s="9">
        <f t="shared" si="1"/>
        <v>38500</v>
      </c>
      <c r="F22" s="19">
        <f t="shared" si="2"/>
        <v>9</v>
      </c>
      <c r="G22" s="35">
        <f>IF(E22&lt;=$B$5,G21+Sensitivity_analysis!$D$8/2000,0)</f>
        <v>1.8000000000000007</v>
      </c>
      <c r="H22" s="19">
        <f>IF(H21+Sensitivity_analysis!$D$13&gt;0,H21+Sensitivity_analysis!$D$13,0)</f>
        <v>130</v>
      </c>
      <c r="I22" s="10">
        <f>IF(Calculations!$B$14+(H22-Calculations!$B$13)*Sensitivity_analysis!$D$18&gt;0,Calculations!$B$14+(H22-Calculations!$B$13)*Sensitivity_analysis!$D$18,0)</f>
        <v>74</v>
      </c>
      <c r="J22" s="10">
        <f t="shared" si="0"/>
        <v>133.20000000000005</v>
      </c>
      <c r="K22" s="11">
        <f>J22-(Calculations!$B$17+Sensitivity_analysis!$D$23*(G22-Calculations!$B$18))</f>
        <v>102.70000000000005</v>
      </c>
    </row>
    <row r="23" spans="5:11" ht="12.75">
      <c r="E23" s="9">
        <f t="shared" si="1"/>
        <v>38501</v>
      </c>
      <c r="F23" s="19">
        <f t="shared" si="2"/>
        <v>10</v>
      </c>
      <c r="G23" s="35">
        <f>IF(E23&lt;=$B$5,G22+Sensitivity_analysis!$D$8/2000,0)</f>
        <v>1.9000000000000008</v>
      </c>
      <c r="H23" s="19">
        <f>IF(H22+Sensitivity_analysis!$D$13&gt;0,H22+Sensitivity_analysis!$D$13,0)</f>
        <v>125</v>
      </c>
      <c r="I23" s="10">
        <f>IF(Calculations!$B$14+(H23-Calculations!$B$13)*Sensitivity_analysis!$D$18&gt;0,Calculations!$B$14+(H23-Calculations!$B$13)*Sensitivity_analysis!$D$18,0)</f>
        <v>70</v>
      </c>
      <c r="J23" s="10">
        <f t="shared" si="0"/>
        <v>133.00000000000006</v>
      </c>
      <c r="K23" s="11">
        <f>J23-(Calculations!$B$17+Sensitivity_analysis!$D$23*(G23-Calculations!$B$18))</f>
        <v>102.00000000000006</v>
      </c>
    </row>
    <row r="24" spans="5:11" ht="12.75">
      <c r="E24" s="9">
        <f t="shared" si="1"/>
        <v>38502</v>
      </c>
      <c r="F24" s="19">
        <f t="shared" si="2"/>
        <v>11</v>
      </c>
      <c r="G24" s="35">
        <f>IF(E24&lt;=$B$5,G23+Sensitivity_analysis!$D$8/2000,0)</f>
        <v>2.000000000000001</v>
      </c>
      <c r="H24" s="19">
        <f>IF(H23+Sensitivity_analysis!$D$13&gt;0,H23+Sensitivity_analysis!$D$13,0)</f>
        <v>120</v>
      </c>
      <c r="I24" s="10">
        <f>IF(Calculations!$B$14+(H24-Calculations!$B$13)*Sensitivity_analysis!$D$18&gt;0,Calculations!$B$14+(H24-Calculations!$B$13)*Sensitivity_analysis!$D$18,0)</f>
        <v>66</v>
      </c>
      <c r="J24" s="10">
        <f t="shared" si="0"/>
        <v>132.00000000000006</v>
      </c>
      <c r="K24" s="11">
        <f>J24-(Calculations!$B$17+Sensitivity_analysis!$D$23*(G24-Calculations!$B$18))</f>
        <v>100.50000000000006</v>
      </c>
    </row>
    <row r="25" spans="5:11" ht="12.75">
      <c r="E25" s="9">
        <f t="shared" si="1"/>
        <v>38503</v>
      </c>
      <c r="F25" s="19">
        <f t="shared" si="2"/>
        <v>12</v>
      </c>
      <c r="G25" s="35">
        <f>IF(E25&lt;=$B$5,G24+Sensitivity_analysis!$D$8/2000,0)</f>
        <v>2.100000000000001</v>
      </c>
      <c r="H25" s="19">
        <f>IF(H24+Sensitivity_analysis!$D$13&gt;0,H24+Sensitivity_analysis!$D$13,0)</f>
        <v>115</v>
      </c>
      <c r="I25" s="10">
        <f>IF(Calculations!$B$14+(H25-Calculations!$B$13)*Sensitivity_analysis!$D$18&gt;0,Calculations!$B$14+(H25-Calculations!$B$13)*Sensitivity_analysis!$D$18,0)</f>
        <v>62</v>
      </c>
      <c r="J25" s="10">
        <f t="shared" si="0"/>
        <v>130.20000000000007</v>
      </c>
      <c r="K25" s="11">
        <f>J25-(Calculations!$B$17+Sensitivity_analysis!$D$23*(G25-Calculations!$B$18))</f>
        <v>98.20000000000007</v>
      </c>
    </row>
    <row r="26" spans="5:11" ht="12.75">
      <c r="E26" s="9">
        <f t="shared" si="1"/>
        <v>38504</v>
      </c>
      <c r="F26" s="19">
        <f t="shared" si="2"/>
        <v>13</v>
      </c>
      <c r="G26" s="35">
        <f>IF(E26&lt;=$B$5,G25+Sensitivity_analysis!$D$8/2000,0)</f>
        <v>2.200000000000001</v>
      </c>
      <c r="H26" s="19">
        <f>IF(H25+Sensitivity_analysis!$D$13&gt;0,H25+Sensitivity_analysis!$D$13,0)</f>
        <v>110</v>
      </c>
      <c r="I26" s="10">
        <f>IF(Calculations!$B$14+(H26-Calculations!$B$13)*Sensitivity_analysis!$D$18&gt;0,Calculations!$B$14+(H26-Calculations!$B$13)*Sensitivity_analysis!$D$18,0)</f>
        <v>58</v>
      </c>
      <c r="J26" s="10">
        <f t="shared" si="0"/>
        <v>127.60000000000007</v>
      </c>
      <c r="K26" s="11">
        <f>J26-(Calculations!$B$17+Sensitivity_analysis!$D$23*(G26-Calculations!$B$18))</f>
        <v>95.10000000000005</v>
      </c>
    </row>
    <row r="27" spans="5:11" ht="12.75">
      <c r="E27" s="9">
        <f t="shared" si="1"/>
        <v>38505</v>
      </c>
      <c r="F27" s="19">
        <f t="shared" si="2"/>
        <v>14</v>
      </c>
      <c r="G27" s="35">
        <f>IF(E27&lt;=$B$5,G26+Sensitivity_analysis!$D$8/2000,0)</f>
        <v>2.300000000000001</v>
      </c>
      <c r="H27" s="19">
        <f>IF(H26+Sensitivity_analysis!$D$13&gt;0,H26+Sensitivity_analysis!$D$13,0)</f>
        <v>105</v>
      </c>
      <c r="I27" s="10">
        <f>IF(Calculations!$B$14+(H27-Calculations!$B$13)*Sensitivity_analysis!$D$18&gt;0,Calculations!$B$14+(H27-Calculations!$B$13)*Sensitivity_analysis!$D$18,0)</f>
        <v>54</v>
      </c>
      <c r="J27" s="10">
        <f t="shared" si="0"/>
        <v>124.20000000000006</v>
      </c>
      <c r="K27" s="11">
        <f>J27-(Calculations!$B$17+Sensitivity_analysis!$D$23*(G27-Calculations!$B$18))</f>
        <v>91.20000000000005</v>
      </c>
    </row>
    <row r="28" spans="5:11" ht="12.75">
      <c r="E28" s="9">
        <f t="shared" si="1"/>
        <v>38506</v>
      </c>
      <c r="F28" s="19">
        <f t="shared" si="2"/>
        <v>15</v>
      </c>
      <c r="G28" s="35">
        <f>IF(E28&lt;=$B$5,G27+Sensitivity_analysis!$D$8/2000,0)</f>
        <v>2.4000000000000012</v>
      </c>
      <c r="H28" s="19">
        <f>IF(H27+Sensitivity_analysis!$D$13&gt;0,H27+Sensitivity_analysis!$D$13,0)</f>
        <v>100</v>
      </c>
      <c r="I28" s="10">
        <f>IF(Calculations!$B$14+(H28-Calculations!$B$13)*Sensitivity_analysis!$D$18&gt;0,Calculations!$B$14+(H28-Calculations!$B$13)*Sensitivity_analysis!$D$18,0)</f>
        <v>50</v>
      </c>
      <c r="J28" s="10">
        <f t="shared" si="0"/>
        <v>120.00000000000006</v>
      </c>
      <c r="K28" s="11">
        <f>J28-(Calculations!$B$17+Sensitivity_analysis!$D$23*(G28-Calculations!$B$18))</f>
        <v>86.50000000000006</v>
      </c>
    </row>
    <row r="29" spans="5:11" ht="12.75">
      <c r="E29" s="9">
        <f t="shared" si="1"/>
        <v>38507</v>
      </c>
      <c r="F29" s="19">
        <f t="shared" si="2"/>
        <v>16</v>
      </c>
      <c r="G29" s="35">
        <f>IF(E29&lt;=$B$5,G28+Sensitivity_analysis!$D$8/2000,0)</f>
        <v>2.5000000000000013</v>
      </c>
      <c r="H29" s="19">
        <f>IF(H28+Sensitivity_analysis!$D$13&gt;0,H28+Sensitivity_analysis!$D$13,0)</f>
        <v>95</v>
      </c>
      <c r="I29" s="10">
        <f>IF(Calculations!$B$14+(H29-Calculations!$B$13)*Sensitivity_analysis!$D$18&gt;0,Calculations!$B$14+(H29-Calculations!$B$13)*Sensitivity_analysis!$D$18,0)</f>
        <v>46</v>
      </c>
      <c r="J29" s="10">
        <f t="shared" si="0"/>
        <v>115.00000000000006</v>
      </c>
      <c r="K29" s="11">
        <f>J29-(Calculations!$B$17+Sensitivity_analysis!$D$23*(G29-Calculations!$B$18))</f>
        <v>81.00000000000006</v>
      </c>
    </row>
    <row r="30" spans="5:11" ht="12.75">
      <c r="E30" s="9">
        <f t="shared" si="1"/>
        <v>38508</v>
      </c>
      <c r="F30" s="19">
        <f t="shared" si="2"/>
        <v>17</v>
      </c>
      <c r="G30" s="35">
        <f>IF(E30&lt;=$B$5,G29+Sensitivity_analysis!$D$8/2000,0)</f>
        <v>2.6000000000000014</v>
      </c>
      <c r="H30" s="19">
        <f>IF(H29+Sensitivity_analysis!$D$13&gt;0,H29+Sensitivity_analysis!$D$13,0)</f>
        <v>90</v>
      </c>
      <c r="I30" s="10">
        <f>IF(Calculations!$B$14+(H30-Calculations!$B$13)*Sensitivity_analysis!$D$18&gt;0,Calculations!$B$14+(H30-Calculations!$B$13)*Sensitivity_analysis!$D$18,0)</f>
        <v>42</v>
      </c>
      <c r="J30" s="10">
        <f t="shared" si="0"/>
        <v>109.20000000000006</v>
      </c>
      <c r="K30" s="11">
        <f>J30-(Calculations!$B$17+Sensitivity_analysis!$D$23*(G30-Calculations!$B$18))</f>
        <v>74.70000000000005</v>
      </c>
    </row>
    <row r="31" spans="5:11" ht="12.75">
      <c r="E31" s="9">
        <f t="shared" si="1"/>
        <v>38509</v>
      </c>
      <c r="F31" s="19">
        <f t="shared" si="2"/>
        <v>18</v>
      </c>
      <c r="G31" s="35">
        <f>IF(E31&lt;=$B$5,G30+Sensitivity_analysis!$D$8/2000,0)</f>
        <v>2.7000000000000015</v>
      </c>
      <c r="H31" s="19">
        <f>IF(H30+Sensitivity_analysis!$D$13&gt;0,H30+Sensitivity_analysis!$D$13,0)</f>
        <v>85</v>
      </c>
      <c r="I31" s="10">
        <f>IF(Calculations!$B$14+(H31-Calculations!$B$13)*Sensitivity_analysis!$D$18&gt;0,Calculations!$B$14+(H31-Calculations!$B$13)*Sensitivity_analysis!$D$18,0)</f>
        <v>38</v>
      </c>
      <c r="J31" s="10">
        <f t="shared" si="0"/>
        <v>102.60000000000005</v>
      </c>
      <c r="K31" s="11">
        <f>J31-(Calculations!$B$17+Sensitivity_analysis!$D$23*(G31-Calculations!$B$18))</f>
        <v>67.60000000000005</v>
      </c>
    </row>
    <row r="32" spans="5:11" ht="12.75">
      <c r="E32" s="9">
        <f t="shared" si="1"/>
        <v>38510</v>
      </c>
      <c r="F32" s="19">
        <f t="shared" si="2"/>
        <v>19</v>
      </c>
      <c r="G32" s="35">
        <f>IF(E32&lt;=$B$5,G31+Sensitivity_analysis!$D$8/2000,0)</f>
        <v>2.8000000000000016</v>
      </c>
      <c r="H32" s="19">
        <f>IF(H31+Sensitivity_analysis!$D$13&gt;0,H31+Sensitivity_analysis!$D$13,0)</f>
        <v>80</v>
      </c>
      <c r="I32" s="10">
        <f>IF(Calculations!$B$14+(H32-Calculations!$B$13)*Sensitivity_analysis!$D$18&gt;0,Calculations!$B$14+(H32-Calculations!$B$13)*Sensitivity_analysis!$D$18,0)</f>
        <v>34</v>
      </c>
      <c r="J32" s="10">
        <f t="shared" si="0"/>
        <v>95.20000000000006</v>
      </c>
      <c r="K32" s="11">
        <f>J32-(Calculations!$B$17+Sensitivity_analysis!$D$23*(G32-Calculations!$B$18))</f>
        <v>59.70000000000005</v>
      </c>
    </row>
    <row r="33" spans="5:11" ht="12.75">
      <c r="E33" s="9">
        <f t="shared" si="1"/>
        <v>38511</v>
      </c>
      <c r="F33" s="19">
        <f t="shared" si="2"/>
        <v>20</v>
      </c>
      <c r="G33" s="35">
        <f>IF(E33&lt;=$B$5,G32+Sensitivity_analysis!$D$8/2000,0)</f>
        <v>2.9000000000000017</v>
      </c>
      <c r="H33" s="19">
        <f>IF(H32+Sensitivity_analysis!$D$13&gt;0,H32+Sensitivity_analysis!$D$13,0)</f>
        <v>75</v>
      </c>
      <c r="I33" s="10">
        <f>IF(Calculations!$B$14+(H33-Calculations!$B$13)*Sensitivity_analysis!$D$18&gt;0,Calculations!$B$14+(H33-Calculations!$B$13)*Sensitivity_analysis!$D$18,0)</f>
        <v>30</v>
      </c>
      <c r="J33" s="10">
        <f t="shared" si="0"/>
        <v>87.00000000000006</v>
      </c>
      <c r="K33" s="11">
        <f>J33-(Calculations!$B$17+Sensitivity_analysis!$D$23*(G33-Calculations!$B$18))</f>
        <v>51.00000000000005</v>
      </c>
    </row>
    <row r="34" spans="5:11" ht="12.75">
      <c r="E34" s="9">
        <f t="shared" si="1"/>
        <v>38512</v>
      </c>
      <c r="F34" s="19">
        <f t="shared" si="2"/>
        <v>21</v>
      </c>
      <c r="G34" s="35">
        <f>IF(E34&lt;=$B$5,G33+Sensitivity_analysis!$D$8/2000,0)</f>
        <v>3.0000000000000018</v>
      </c>
      <c r="H34" s="19">
        <f>IF(H33+Sensitivity_analysis!$D$13&gt;0,H33+Sensitivity_analysis!$D$13,0)</f>
        <v>70</v>
      </c>
      <c r="I34" s="10">
        <f>IF(Calculations!$B$14+(H34-Calculations!$B$13)*Sensitivity_analysis!$D$18&gt;0,Calculations!$B$14+(H34-Calculations!$B$13)*Sensitivity_analysis!$D$18,0)</f>
        <v>26</v>
      </c>
      <c r="J34" s="10">
        <f t="shared" si="0"/>
        <v>78.00000000000004</v>
      </c>
      <c r="K34" s="11">
        <f>J34-(Calculations!$B$17+Sensitivity_analysis!$D$23*(G34-Calculations!$B$18))</f>
        <v>41.500000000000036</v>
      </c>
    </row>
    <row r="35" spans="5:11" ht="12.75">
      <c r="E35" s="9">
        <f t="shared" si="1"/>
        <v>38513</v>
      </c>
      <c r="F35" s="19">
        <f t="shared" si="2"/>
        <v>22</v>
      </c>
      <c r="G35" s="35">
        <f>IF(E35&lt;=$B$5,G34+Sensitivity_analysis!$D$8/2000,0)</f>
        <v>3.100000000000002</v>
      </c>
      <c r="H35" s="19">
        <f>IF(H34+Sensitivity_analysis!$D$13&gt;0,H34+Sensitivity_analysis!$D$13,0)</f>
        <v>65</v>
      </c>
      <c r="I35" s="10">
        <f>IF(Calculations!$B$14+(H35-Calculations!$B$13)*Sensitivity_analysis!$D$18&gt;0,Calculations!$B$14+(H35-Calculations!$B$13)*Sensitivity_analysis!$D$18,0)</f>
        <v>22</v>
      </c>
      <c r="J35" s="10">
        <f t="shared" si="0"/>
        <v>68.20000000000005</v>
      </c>
      <c r="K35" s="11">
        <f>J35-(Calculations!$B$17+Sensitivity_analysis!$D$23*(G35-Calculations!$B$18))</f>
        <v>31.20000000000004</v>
      </c>
    </row>
    <row r="36" spans="5:11" ht="12.75">
      <c r="E36" s="9">
        <f t="shared" si="1"/>
        <v>38514</v>
      </c>
      <c r="F36" s="19">
        <f t="shared" si="2"/>
        <v>23</v>
      </c>
      <c r="G36" s="35">
        <f>IF(E36&lt;=$B$5,G35+Sensitivity_analysis!$D$8/2000,0)</f>
        <v>0</v>
      </c>
      <c r="H36" s="19">
        <f>IF(H35+Sensitivity_analysis!$D$13&gt;0,H35+Sensitivity_analysis!$D$13,0)</f>
        <v>60</v>
      </c>
      <c r="I36" s="10">
        <f>IF(Calculations!$B$14+(H36-Calculations!$B$13)*Sensitivity_analysis!$D$18&gt;0,Calculations!$B$14+(H36-Calculations!$B$13)*Sensitivity_analysis!$D$18,0)</f>
        <v>18</v>
      </c>
      <c r="J36" s="10">
        <f t="shared" si="0"/>
        <v>0</v>
      </c>
      <c r="K36" s="11">
        <f>J36-(Calculations!$B$17+Sensitivity_analysis!$D$23*(G36-Calculations!$B$18))</f>
        <v>-21.5</v>
      </c>
    </row>
    <row r="37" spans="5:11" ht="12.75">
      <c r="E37" s="9">
        <f t="shared" si="1"/>
        <v>38515</v>
      </c>
      <c r="F37" s="19">
        <f t="shared" si="2"/>
        <v>24</v>
      </c>
      <c r="G37" s="35">
        <f>IF(E37&lt;=$B$5,G36+Sensitivity_analysis!$D$8/2000,0)</f>
        <v>0</v>
      </c>
      <c r="H37" s="19">
        <f>IF(H36+Sensitivity_analysis!$D$13&gt;0,H36+Sensitivity_analysis!$D$13,0)</f>
        <v>55</v>
      </c>
      <c r="I37" s="10">
        <f>IF(Calculations!$B$14+(H37-Calculations!$B$13)*Sensitivity_analysis!$D$18&gt;0,Calculations!$B$14+(H37-Calculations!$B$13)*Sensitivity_analysis!$D$18,0)</f>
        <v>14</v>
      </c>
      <c r="J37" s="10">
        <f t="shared" si="0"/>
        <v>0</v>
      </c>
      <c r="K37" s="11">
        <f>J37-(Calculations!$B$17+Sensitivity_analysis!$D$23*(G37-Calculations!$B$18))</f>
        <v>-21.5</v>
      </c>
    </row>
    <row r="38" spans="5:11" ht="12.75">
      <c r="E38" s="9">
        <f t="shared" si="1"/>
        <v>38516</v>
      </c>
      <c r="F38" s="19">
        <f t="shared" si="2"/>
        <v>25</v>
      </c>
      <c r="G38" s="35">
        <f>IF(E38&lt;=$B$5,G37+Sensitivity_analysis!$D$8/2000,0)</f>
        <v>0</v>
      </c>
      <c r="H38" s="19">
        <f>IF(H37+Sensitivity_analysis!$D$13&gt;0,H37+Sensitivity_analysis!$D$13,0)</f>
        <v>50</v>
      </c>
      <c r="I38" s="10">
        <f>IF(Calculations!$B$14+(H38-Calculations!$B$13)*Sensitivity_analysis!$D$18&gt;0,Calculations!$B$14+(H38-Calculations!$B$13)*Sensitivity_analysis!$D$18,0)</f>
        <v>10</v>
      </c>
      <c r="J38" s="10">
        <f t="shared" si="0"/>
        <v>0</v>
      </c>
      <c r="K38" s="11">
        <f>J38-(Calculations!$B$17+Sensitivity_analysis!$D$23*(G38-Calculations!$B$18))</f>
        <v>-21.5</v>
      </c>
    </row>
    <row r="39" spans="5:11" ht="12.75">
      <c r="E39" s="9">
        <f t="shared" si="1"/>
        <v>38517</v>
      </c>
      <c r="F39" s="19">
        <f t="shared" si="2"/>
        <v>26</v>
      </c>
      <c r="G39" s="35">
        <f>IF(E39&lt;=$B$5,G38+Sensitivity_analysis!$D$8/2000,0)</f>
        <v>0</v>
      </c>
      <c r="H39" s="19">
        <f>IF(H38+Sensitivity_analysis!$D$13&gt;0,H38+Sensitivity_analysis!$D$13,0)</f>
        <v>45</v>
      </c>
      <c r="I39" s="10">
        <f>IF(Calculations!$B$14+(H39-Calculations!$B$13)*Sensitivity_analysis!$D$18&gt;0,Calculations!$B$14+(H39-Calculations!$B$13)*Sensitivity_analysis!$D$18,0)</f>
        <v>6</v>
      </c>
      <c r="J39" s="10">
        <f t="shared" si="0"/>
        <v>0</v>
      </c>
      <c r="K39" s="11">
        <f>J39-(Calculations!$B$17+Sensitivity_analysis!$D$23*(G39-Calculations!$B$18))</f>
        <v>-21.5</v>
      </c>
    </row>
    <row r="40" spans="5:11" ht="12.75">
      <c r="E40" s="9">
        <f t="shared" si="1"/>
        <v>38518</v>
      </c>
      <c r="F40" s="19">
        <f t="shared" si="2"/>
        <v>27</v>
      </c>
      <c r="G40" s="35">
        <f>IF(E40&lt;=$B$5,G39+Sensitivity_analysis!$D$8/2000,0)</f>
        <v>0</v>
      </c>
      <c r="H40" s="19">
        <f>IF(H39+Sensitivity_analysis!$D$13&gt;0,H39+Sensitivity_analysis!$D$13,0)</f>
        <v>40</v>
      </c>
      <c r="I40" s="10">
        <f>IF(Calculations!$B$14+(H40-Calculations!$B$13)*Sensitivity_analysis!$D$18&gt;0,Calculations!$B$14+(H40-Calculations!$B$13)*Sensitivity_analysis!$D$18,0)</f>
        <v>2</v>
      </c>
      <c r="J40" s="10">
        <f t="shared" si="0"/>
        <v>0</v>
      </c>
      <c r="K40" s="11">
        <f>J40-(Calculations!$B$17+Sensitivity_analysis!$D$23*(G40-Calculations!$B$18))</f>
        <v>-21.5</v>
      </c>
    </row>
    <row r="41" spans="5:11" ht="12.75">
      <c r="E41" s="9">
        <f t="shared" si="1"/>
        <v>38519</v>
      </c>
      <c r="F41" s="19">
        <f t="shared" si="2"/>
        <v>28</v>
      </c>
      <c r="G41" s="35">
        <f>IF(E41&lt;=$B$5,G40+Sensitivity_analysis!$D$8/2000,0)</f>
        <v>0</v>
      </c>
      <c r="H41" s="19">
        <f>IF(H40+Sensitivity_analysis!$D$13&gt;0,H40+Sensitivity_analysis!$D$13,0)</f>
        <v>35</v>
      </c>
      <c r="I41" s="10">
        <f>IF(Calculations!$B$14+(H41-Calculations!$B$13)*Sensitivity_analysis!$D$18&gt;0,Calculations!$B$14+(H41-Calculations!$B$13)*Sensitivity_analysis!$D$18,0)</f>
        <v>0</v>
      </c>
      <c r="J41" s="10">
        <f t="shared" si="0"/>
        <v>0</v>
      </c>
      <c r="K41" s="11">
        <f>J41-(Calculations!$B$17+Sensitivity_analysis!$D$23*(G41-Calculations!$B$18))</f>
        <v>-21.5</v>
      </c>
    </row>
    <row r="42" spans="5:11" ht="12.75">
      <c r="E42" s="9">
        <f t="shared" si="1"/>
        <v>38520</v>
      </c>
      <c r="F42" s="19">
        <f t="shared" si="2"/>
        <v>29</v>
      </c>
      <c r="G42" s="35">
        <f>IF(E42&lt;=$B$5,G41+Sensitivity_analysis!$D$8/2000,0)</f>
        <v>0</v>
      </c>
      <c r="H42" s="19">
        <f>IF(H41+Sensitivity_analysis!$D$13&gt;0,H41+Sensitivity_analysis!$D$13,0)</f>
        <v>30</v>
      </c>
      <c r="I42" s="10">
        <f>IF(Calculations!$B$14+(H42-Calculations!$B$13)*Sensitivity_analysis!$D$18&gt;0,Calculations!$B$14+(H42-Calculations!$B$13)*Sensitivity_analysis!$D$18,0)</f>
        <v>0</v>
      </c>
      <c r="J42" s="10">
        <f t="shared" si="0"/>
        <v>0</v>
      </c>
      <c r="K42" s="11">
        <f>J42-(Calculations!$B$17+Sensitivity_analysis!$D$23*(G42-Calculations!$B$18))</f>
        <v>-21.5</v>
      </c>
    </row>
    <row r="43" spans="5:11" ht="12.75">
      <c r="E43" s="9">
        <f t="shared" si="1"/>
        <v>38521</v>
      </c>
      <c r="F43" s="19">
        <f t="shared" si="2"/>
        <v>30</v>
      </c>
      <c r="G43" s="35">
        <f>IF(E43&lt;=$B$5,G42+Sensitivity_analysis!$D$8/2000,0)</f>
        <v>0</v>
      </c>
      <c r="H43" s="19">
        <f>IF(H42+Sensitivity_analysis!$D$13&gt;0,H42+Sensitivity_analysis!$D$13,0)</f>
        <v>25</v>
      </c>
      <c r="I43" s="10">
        <f>IF(Calculations!$B$14+(H43-Calculations!$B$13)*Sensitivity_analysis!$D$18&gt;0,Calculations!$B$14+(H43-Calculations!$B$13)*Sensitivity_analysis!$D$18,0)</f>
        <v>0</v>
      </c>
      <c r="J43" s="10">
        <f t="shared" si="0"/>
        <v>0</v>
      </c>
      <c r="K43" s="11">
        <f>J43-(Calculations!$B$17+Sensitivity_analysis!$D$23*(G43-Calculations!$B$18))</f>
        <v>-21.5</v>
      </c>
    </row>
    <row r="44" spans="5:11" ht="12.75">
      <c r="E44" s="9">
        <f t="shared" si="1"/>
        <v>38522</v>
      </c>
      <c r="F44" s="19">
        <f t="shared" si="2"/>
        <v>31</v>
      </c>
      <c r="G44" s="35">
        <f>IF(E44&lt;=$B$5,G43+Sensitivity_analysis!$D$8/2000,0)</f>
        <v>0</v>
      </c>
      <c r="H44" s="19">
        <f>IF(H43+Sensitivity_analysis!$D$13&gt;0,H43+Sensitivity_analysis!$D$13,0)</f>
        <v>20</v>
      </c>
      <c r="I44" s="10">
        <f>IF(Calculations!$B$14+(H44-Calculations!$B$13)*Sensitivity_analysis!$D$18&gt;0,Calculations!$B$14+(H44-Calculations!$B$13)*Sensitivity_analysis!$D$18,0)</f>
        <v>0</v>
      </c>
      <c r="J44" s="10">
        <f t="shared" si="0"/>
        <v>0</v>
      </c>
      <c r="K44" s="11">
        <f>J44-(Calculations!$B$17+Sensitivity_analysis!$D$23*(G44-Calculations!$B$18))</f>
        <v>-21.5</v>
      </c>
    </row>
    <row r="45" spans="5:11" ht="12.75">
      <c r="E45" s="9">
        <f t="shared" si="1"/>
        <v>38523</v>
      </c>
      <c r="F45" s="19">
        <f t="shared" si="2"/>
        <v>32</v>
      </c>
      <c r="G45" s="35">
        <f>IF(E45&lt;=$B$5,G44+Sensitivity_analysis!$D$8/2000,0)</f>
        <v>0</v>
      </c>
      <c r="H45" s="19">
        <f>IF(H44+Sensitivity_analysis!$D$13&gt;0,H44+Sensitivity_analysis!$D$13,0)</f>
        <v>15</v>
      </c>
      <c r="I45" s="10">
        <f>IF(Calculations!$B$14+(H45-Calculations!$B$13)*Sensitivity_analysis!$D$18&gt;0,Calculations!$B$14+(H45-Calculations!$B$13)*Sensitivity_analysis!$D$18,0)</f>
        <v>0</v>
      </c>
      <c r="J45" s="10">
        <f t="shared" si="0"/>
        <v>0</v>
      </c>
      <c r="K45" s="11">
        <f>J45-(Calculations!$B$17+Sensitivity_analysis!$D$23*(G45-Calculations!$B$18))</f>
        <v>-21.5</v>
      </c>
    </row>
    <row r="46" spans="5:11" ht="12.75">
      <c r="E46" s="9">
        <f t="shared" si="1"/>
        <v>38524</v>
      </c>
      <c r="F46" s="19">
        <f t="shared" si="2"/>
        <v>33</v>
      </c>
      <c r="G46" s="35">
        <f>IF(E46&lt;=$B$5,G45+Sensitivity_analysis!$D$8/2000,0)</f>
        <v>0</v>
      </c>
      <c r="H46" s="19">
        <f>IF(H45+Sensitivity_analysis!$D$13&gt;0,H45+Sensitivity_analysis!$D$13,0)</f>
        <v>10</v>
      </c>
      <c r="I46" s="10">
        <f>IF(Calculations!$B$14+(H46-Calculations!$B$13)*Sensitivity_analysis!$D$18&gt;0,Calculations!$B$14+(H46-Calculations!$B$13)*Sensitivity_analysis!$D$18,0)</f>
        <v>0</v>
      </c>
      <c r="J46" s="10">
        <f t="shared" si="0"/>
        <v>0</v>
      </c>
      <c r="K46" s="11">
        <f>J46-(Calculations!$B$17+Sensitivity_analysis!$D$23*(G46-Calculations!$B$18))</f>
        <v>-21.5</v>
      </c>
    </row>
    <row r="47" spans="5:11" ht="12.75">
      <c r="E47" s="9">
        <f t="shared" si="1"/>
        <v>38525</v>
      </c>
      <c r="F47" s="19">
        <f t="shared" si="2"/>
        <v>34</v>
      </c>
      <c r="G47" s="35">
        <f>IF(E47&lt;=$B$5,G46+Sensitivity_analysis!$D$8/2000,0)</f>
        <v>0</v>
      </c>
      <c r="H47" s="19">
        <f>IF(H46+Sensitivity_analysis!$D$13&gt;0,H46+Sensitivity_analysis!$D$13,0)</f>
        <v>5</v>
      </c>
      <c r="I47" s="10">
        <f>IF(Calculations!$B$14+(H47-Calculations!$B$13)*Sensitivity_analysis!$D$18&gt;0,Calculations!$B$14+(H47-Calculations!$B$13)*Sensitivity_analysis!$D$18,0)</f>
        <v>0</v>
      </c>
      <c r="J47" s="10">
        <f t="shared" si="0"/>
        <v>0</v>
      </c>
      <c r="K47" s="11">
        <f>J47-(Calculations!$B$17+Sensitivity_analysis!$D$23*(G47-Calculations!$B$18))</f>
        <v>-21.5</v>
      </c>
    </row>
    <row r="48" spans="5:11" ht="12.75">
      <c r="E48" s="9">
        <f t="shared" si="1"/>
        <v>38526</v>
      </c>
      <c r="F48" s="19">
        <f t="shared" si="2"/>
        <v>35</v>
      </c>
      <c r="G48" s="35">
        <f>IF(E48&lt;=$B$5,G47+Sensitivity_analysis!$D$8/2000,0)</f>
        <v>0</v>
      </c>
      <c r="H48" s="19">
        <f>IF(H47+Sensitivity_analysis!$D$13&gt;0,H47+Sensitivity_analysis!$D$13,0)</f>
        <v>0</v>
      </c>
      <c r="I48" s="10">
        <f>IF(Calculations!$B$14+(H48-Calculations!$B$13)*Sensitivity_analysis!$D$18&gt;0,Calculations!$B$14+(H48-Calculations!$B$13)*Sensitivity_analysis!$D$18,0)</f>
        <v>0</v>
      </c>
      <c r="J48" s="10">
        <f t="shared" si="0"/>
        <v>0</v>
      </c>
      <c r="K48" s="11">
        <f>J48-(Calculations!$B$17+Sensitivity_analysis!$D$23*(G48-Calculations!$B$18))</f>
        <v>-21.5</v>
      </c>
    </row>
    <row r="49" spans="5:11" ht="12.75">
      <c r="E49" s="9">
        <f t="shared" si="1"/>
        <v>38527</v>
      </c>
      <c r="F49" s="19">
        <f t="shared" si="2"/>
        <v>36</v>
      </c>
      <c r="G49" s="35">
        <f>IF(E49&lt;=$B$5,G48+Sensitivity_analysis!$D$8/2000,0)</f>
        <v>0</v>
      </c>
      <c r="H49" s="19">
        <f>IF(H48+Sensitivity_analysis!$D$13&gt;0,H48+Sensitivity_analysis!$D$13,0)</f>
        <v>0</v>
      </c>
      <c r="I49" s="10">
        <f>IF(Calculations!$B$14+(H49-Calculations!$B$13)*Sensitivity_analysis!$D$18&gt;0,Calculations!$B$14+(H49-Calculations!$B$13)*Sensitivity_analysis!$D$18,0)</f>
        <v>0</v>
      </c>
      <c r="J49" s="10">
        <f t="shared" si="0"/>
        <v>0</v>
      </c>
      <c r="K49" s="11">
        <f>J49-(Calculations!$B$17+Sensitivity_analysis!$D$23*(G49-Calculations!$B$18))</f>
        <v>-21.5</v>
      </c>
    </row>
    <row r="50" spans="5:11" ht="12.75">
      <c r="E50" s="9">
        <f t="shared" si="1"/>
        <v>38528</v>
      </c>
      <c r="F50" s="19">
        <f t="shared" si="2"/>
        <v>37</v>
      </c>
      <c r="G50" s="35">
        <f>IF(E50&lt;=$B$5,G49+Sensitivity_analysis!$D$8/2000,0)</f>
        <v>0</v>
      </c>
      <c r="H50" s="19">
        <f>IF(H49+Sensitivity_analysis!$D$13&gt;0,H49+Sensitivity_analysis!$D$13,0)</f>
        <v>0</v>
      </c>
      <c r="I50" s="10">
        <f>IF(Calculations!$B$14+(H50-Calculations!$B$13)*Sensitivity_analysis!$D$18&gt;0,Calculations!$B$14+(H50-Calculations!$B$13)*Sensitivity_analysis!$D$18,0)</f>
        <v>0</v>
      </c>
      <c r="J50" s="10">
        <f t="shared" si="0"/>
        <v>0</v>
      </c>
      <c r="K50" s="11">
        <f>J50-(Calculations!$B$17+Sensitivity_analysis!$D$23*(G50-Calculations!$B$18))</f>
        <v>-21.5</v>
      </c>
    </row>
    <row r="51" spans="5:11" ht="12.75">
      <c r="E51" s="9">
        <f t="shared" si="1"/>
        <v>38529</v>
      </c>
      <c r="F51" s="19">
        <f t="shared" si="2"/>
        <v>38</v>
      </c>
      <c r="G51" s="35">
        <f>IF(E51&lt;=$B$5,G50+Sensitivity_analysis!$D$8/2000,0)</f>
        <v>0</v>
      </c>
      <c r="H51" s="19">
        <f>IF(H50+Sensitivity_analysis!$D$13&gt;0,H50+Sensitivity_analysis!$D$13,0)</f>
        <v>0</v>
      </c>
      <c r="I51" s="10">
        <f>IF(Calculations!$B$14+(H51-Calculations!$B$13)*Sensitivity_analysis!$D$18&gt;0,Calculations!$B$14+(H51-Calculations!$B$13)*Sensitivity_analysis!$D$18,0)</f>
        <v>0</v>
      </c>
      <c r="J51" s="10">
        <f t="shared" si="0"/>
        <v>0</v>
      </c>
      <c r="K51" s="11">
        <f>J51-(Calculations!$B$17+Sensitivity_analysis!$D$23*(G51-Calculations!$B$18))</f>
        <v>-21.5</v>
      </c>
    </row>
    <row r="52" spans="5:11" ht="12.75">
      <c r="E52" s="9">
        <f t="shared" si="1"/>
        <v>38530</v>
      </c>
      <c r="F52" s="19">
        <f t="shared" si="2"/>
        <v>39</v>
      </c>
      <c r="G52" s="35">
        <f>IF(E52&lt;=$B$5,G51+Sensitivity_analysis!$D$8/2000,0)</f>
        <v>0</v>
      </c>
      <c r="H52" s="19">
        <f>IF(H51+Sensitivity_analysis!$D$13&gt;0,H51+Sensitivity_analysis!$D$13,0)</f>
        <v>0</v>
      </c>
      <c r="I52" s="10">
        <f>IF(Calculations!$B$14+(H52-Calculations!$B$13)*Sensitivity_analysis!$D$18&gt;0,Calculations!$B$14+(H52-Calculations!$B$13)*Sensitivity_analysis!$D$18,0)</f>
        <v>0</v>
      </c>
      <c r="J52" s="10">
        <f t="shared" si="0"/>
        <v>0</v>
      </c>
      <c r="K52" s="11">
        <f>J52-(Calculations!$B$17+Sensitivity_analysis!$D$23*(G52-Calculations!$B$18))</f>
        <v>-21.5</v>
      </c>
    </row>
    <row r="53" spans="5:11" ht="12.75">
      <c r="E53" s="9">
        <f t="shared" si="1"/>
        <v>38531</v>
      </c>
      <c r="F53" s="19">
        <f t="shared" si="2"/>
        <v>40</v>
      </c>
      <c r="G53" s="35">
        <f>IF(E53&lt;=$B$5,G52+Sensitivity_analysis!$D$8/2000,0)</f>
        <v>0</v>
      </c>
      <c r="H53" s="19">
        <f>IF(H52+Sensitivity_analysis!$D$13&gt;0,H52+Sensitivity_analysis!$D$13,0)</f>
        <v>0</v>
      </c>
      <c r="I53" s="10">
        <f>IF(Calculations!$B$14+(H53-Calculations!$B$13)*Sensitivity_analysis!$D$18&gt;0,Calculations!$B$14+(H53-Calculations!$B$13)*Sensitivity_analysis!$D$18,0)</f>
        <v>0</v>
      </c>
      <c r="J53" s="10">
        <f t="shared" si="0"/>
        <v>0</v>
      </c>
      <c r="K53" s="11">
        <f>J53-(Calculations!$B$17+Sensitivity_analysis!$D$23*(G53-Calculations!$B$18))</f>
        <v>-21.5</v>
      </c>
    </row>
    <row r="54" spans="5:11" ht="12.75">
      <c r="E54" s="9">
        <f t="shared" si="1"/>
        <v>38532</v>
      </c>
      <c r="F54" s="19">
        <f t="shared" si="2"/>
        <v>41</v>
      </c>
      <c r="G54" s="35">
        <f>IF(E54&lt;=$B$5,G53+Sensitivity_analysis!$D$8/2000,0)</f>
        <v>0</v>
      </c>
      <c r="H54" s="19">
        <f>IF(H53+Sensitivity_analysis!$D$13&gt;0,H53+Sensitivity_analysis!$D$13,0)</f>
        <v>0</v>
      </c>
      <c r="I54" s="10">
        <f>IF(Calculations!$B$14+(H54-Calculations!$B$13)*Sensitivity_analysis!$D$18&gt;0,Calculations!$B$14+(H54-Calculations!$B$13)*Sensitivity_analysis!$D$18,0)</f>
        <v>0</v>
      </c>
      <c r="J54" s="10">
        <f t="shared" si="0"/>
        <v>0</v>
      </c>
      <c r="K54" s="11">
        <f>J54-(Calculations!$B$17+Sensitivity_analysis!$D$23*(G54-Calculations!$B$18))</f>
        <v>-21.5</v>
      </c>
    </row>
    <row r="55" spans="5:11" ht="12.75">
      <c r="E55" s="9">
        <f t="shared" si="1"/>
        <v>38533</v>
      </c>
      <c r="F55" s="19">
        <f t="shared" si="2"/>
        <v>42</v>
      </c>
      <c r="G55" s="35">
        <f>IF(E55&lt;=$B$5,G54+Sensitivity_analysis!$D$8/2000,0)</f>
        <v>0</v>
      </c>
      <c r="H55" s="19">
        <f>IF(H54+Sensitivity_analysis!$D$13&gt;0,H54+Sensitivity_analysis!$D$13,0)</f>
        <v>0</v>
      </c>
      <c r="I55" s="10">
        <f>IF(Calculations!$B$14+(H55-Calculations!$B$13)*Sensitivity_analysis!$D$18&gt;0,Calculations!$B$14+(H55-Calculations!$B$13)*Sensitivity_analysis!$D$18,0)</f>
        <v>0</v>
      </c>
      <c r="J55" s="10">
        <f t="shared" si="0"/>
        <v>0</v>
      </c>
      <c r="K55" s="11">
        <f>J55-(Calculations!$B$17+Sensitivity_analysis!$D$23*(G55-Calculations!$B$18))</f>
        <v>-21.5</v>
      </c>
    </row>
    <row r="56" spans="5:11" ht="12.75">
      <c r="E56" s="9">
        <f t="shared" si="1"/>
        <v>38534</v>
      </c>
      <c r="F56" s="19">
        <f t="shared" si="2"/>
        <v>43</v>
      </c>
      <c r="G56" s="35">
        <f>IF(E56&lt;=$B$5,G55+Sensitivity_analysis!$D$8/2000,0)</f>
        <v>0</v>
      </c>
      <c r="H56" s="19">
        <f>IF(H55+Sensitivity_analysis!$D$13&gt;0,H55+Sensitivity_analysis!$D$13,0)</f>
        <v>0</v>
      </c>
      <c r="I56" s="10">
        <f>IF(Calculations!$B$14+(H56-Calculations!$B$13)*Sensitivity_analysis!$D$18&gt;0,Calculations!$B$14+(H56-Calculations!$B$13)*Sensitivity_analysis!$D$18,0)</f>
        <v>0</v>
      </c>
      <c r="J56" s="10">
        <f t="shared" si="0"/>
        <v>0</v>
      </c>
      <c r="K56" s="11">
        <f>J56-(Calculations!$B$17+Sensitivity_analysis!$D$23*(G56-Calculations!$B$18))</f>
        <v>-21.5</v>
      </c>
    </row>
    <row r="57" spans="5:11" ht="12.75">
      <c r="E57" s="9">
        <f t="shared" si="1"/>
        <v>38535</v>
      </c>
      <c r="F57" s="19">
        <f t="shared" si="2"/>
        <v>44</v>
      </c>
      <c r="G57" s="35">
        <f>IF(E57&lt;=$B$5,G56+Sensitivity_analysis!$D$8/2000,0)</f>
        <v>0</v>
      </c>
      <c r="H57" s="19">
        <f>IF(H56+Sensitivity_analysis!$D$13&gt;0,H56+Sensitivity_analysis!$D$13,0)</f>
        <v>0</v>
      </c>
      <c r="I57" s="10">
        <f>IF(Calculations!$B$14+(H57-Calculations!$B$13)*Sensitivity_analysis!$D$18&gt;0,Calculations!$B$14+(H57-Calculations!$B$13)*Sensitivity_analysis!$D$18,0)</f>
        <v>0</v>
      </c>
      <c r="J57" s="10">
        <f t="shared" si="0"/>
        <v>0</v>
      </c>
      <c r="K57" s="11">
        <f>J57-(Calculations!$B$17+Sensitivity_analysis!$D$23*(G57-Calculations!$B$18))</f>
        <v>-21.5</v>
      </c>
    </row>
    <row r="58" spans="5:11" ht="12.75">
      <c r="E58" s="9">
        <f t="shared" si="1"/>
        <v>38536</v>
      </c>
      <c r="F58" s="19">
        <f t="shared" si="2"/>
        <v>45</v>
      </c>
      <c r="G58" s="35">
        <f>IF(E58&lt;=$B$5,G57+Sensitivity_analysis!$D$8/2000,0)</f>
        <v>0</v>
      </c>
      <c r="H58" s="19">
        <f>IF(H57+Sensitivity_analysis!$D$13&gt;0,H57+Sensitivity_analysis!$D$13,0)</f>
        <v>0</v>
      </c>
      <c r="I58" s="10">
        <f>IF(Calculations!$B$14+(H58-Calculations!$B$13)*Sensitivity_analysis!$D$18&gt;0,Calculations!$B$14+(H58-Calculations!$B$13)*Sensitivity_analysis!$D$18,0)</f>
        <v>0</v>
      </c>
      <c r="J58" s="10">
        <f t="shared" si="0"/>
        <v>0</v>
      </c>
      <c r="K58" s="11">
        <f>J58-(Calculations!$B$17+Sensitivity_analysis!$D$23*(G58-Calculations!$B$18))</f>
        <v>-21.5</v>
      </c>
    </row>
    <row r="59" spans="5:11" ht="12.75">
      <c r="E59" s="9">
        <f t="shared" si="1"/>
        <v>38537</v>
      </c>
      <c r="F59" s="19">
        <f t="shared" si="2"/>
        <v>46</v>
      </c>
      <c r="G59" s="35">
        <f>IF(E59&lt;=$B$5,G58+Sensitivity_analysis!$D$8/2000,0)</f>
        <v>0</v>
      </c>
      <c r="H59" s="19">
        <f>IF(H58+Sensitivity_analysis!$D$13&gt;0,H58+Sensitivity_analysis!$D$13,0)</f>
        <v>0</v>
      </c>
      <c r="I59" s="10">
        <f>IF(Calculations!$B$14+(H59-Calculations!$B$13)*Sensitivity_analysis!$D$18&gt;0,Calculations!$B$14+(H59-Calculations!$B$13)*Sensitivity_analysis!$D$18,0)</f>
        <v>0</v>
      </c>
      <c r="J59" s="10">
        <f t="shared" si="0"/>
        <v>0</v>
      </c>
      <c r="K59" s="11">
        <f>J59-(Calculations!$B$17+Sensitivity_analysis!$D$23*(G59-Calculations!$B$18))</f>
        <v>-21.5</v>
      </c>
    </row>
    <row r="60" spans="5:11" ht="13.5" thickBot="1">
      <c r="E60" s="12">
        <f t="shared" si="1"/>
        <v>38538</v>
      </c>
      <c r="F60" s="20">
        <f t="shared" si="2"/>
        <v>47</v>
      </c>
      <c r="G60" s="35">
        <f>IF(E60&lt;=$B$5,G59+Sensitivity_analysis!$D$8/2000,0)</f>
        <v>0</v>
      </c>
      <c r="H60" s="20">
        <f>IF(H59+Sensitivity_analysis!$D$13&gt;0,H59+Sensitivity_analysis!$D$13,0)</f>
        <v>0</v>
      </c>
      <c r="I60" s="13">
        <f>IF(Calculations!$B$14+(H60-Calculations!$B$13)*Sensitivity_analysis!$D$18&gt;0,Calculations!$B$14+(H60-Calculations!$B$13)*Sensitivity_analysis!$D$18,0)</f>
        <v>0</v>
      </c>
      <c r="J60" s="13">
        <f t="shared" si="0"/>
        <v>0</v>
      </c>
      <c r="K60" s="14">
        <f>J60-(Calculations!$B$17+Sensitivity_analysis!$D$23*(G60-Calculations!$B$18))</f>
        <v>-21.5</v>
      </c>
    </row>
  </sheetData>
  <conditionalFormatting sqref="B5">
    <cfRule type="expression" priority="1" dxfId="0" stopIfTrue="1">
      <formula>$B$14-$B$9&gt;21</formula>
    </cfRule>
  </conditionalFormatting>
  <conditionalFormatting sqref="E14:K60">
    <cfRule type="expression" priority="2" dxfId="1" stopIfTrue="1">
      <formula>$E14&gt;$B$5</formula>
    </cfRule>
  </conditionalFormatting>
  <dataValidations count="1">
    <dataValidation type="date" allowBlank="1" showInputMessage="1" showErrorMessage="1" error="May not be more than 21 days later than start date!" sqref="B5">
      <formula1>B1</formula1>
      <formula2>B1+21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Applied Economics</dc:creator>
  <cp:keywords/>
  <dc:description/>
  <cp:lastModifiedBy>Dan Undersander</cp:lastModifiedBy>
  <cp:lastPrinted>2005-10-13T19:07:10Z</cp:lastPrinted>
  <dcterms:created xsi:type="dcterms:W3CDTF">2005-06-23T16:52:09Z</dcterms:created>
  <dcterms:modified xsi:type="dcterms:W3CDTF">2005-11-15T18:23:08Z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