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11760" activeTab="0"/>
  </bookViews>
  <sheets>
    <sheet name="Sheet1" sheetId="1" r:id="rId1"/>
    <sheet name="Documentation" sheetId="2" r:id="rId2"/>
    <sheet name="Sheet3" sheetId="3" r:id="rId3"/>
  </sheets>
  <definedNames/>
  <calcPr fullCalcOnLoad="1"/>
</workbook>
</file>

<file path=xl/sharedStrings.xml><?xml version="1.0" encoding="utf-8"?>
<sst xmlns="http://schemas.openxmlformats.org/spreadsheetml/2006/main" count="222" uniqueCount="126">
  <si>
    <t>Hay Value ($/T DM)</t>
  </si>
  <si>
    <t>Corn Silage ($/T DM)</t>
  </si>
  <si>
    <t xml:space="preserve">Quantity </t>
  </si>
  <si>
    <t>Before</t>
  </si>
  <si>
    <t>Operation</t>
  </si>
  <si>
    <t>Lost</t>
  </si>
  <si>
    <t>Value</t>
  </si>
  <si>
    <t>($/yr)</t>
  </si>
  <si>
    <t>(T DM/yr)</t>
  </si>
  <si>
    <t>Good Management</t>
  </si>
  <si>
    <t>Not So Good Management</t>
  </si>
  <si>
    <t>Silage DM</t>
  </si>
  <si>
    <t>(%)</t>
  </si>
  <si>
    <t>Corn Ratio</t>
  </si>
  <si>
    <t>Total (Sum of Individual Losses)</t>
  </si>
  <si>
    <t>Ratio (%)</t>
  </si>
  <si>
    <t>Hay Silage</t>
  </si>
  <si>
    <t>Corn Silage</t>
  </si>
  <si>
    <t>Total Loss</t>
  </si>
  <si>
    <t>Total (Cumulative Losses, %)</t>
  </si>
  <si>
    <t>Change in</t>
  </si>
  <si>
    <t>Management to Good Management</t>
  </si>
  <si>
    <t>Number in</t>
  </si>
  <si>
    <t>Herd</t>
  </si>
  <si>
    <t>Milking Cows</t>
  </si>
  <si>
    <t>Dry Cows</t>
  </si>
  <si>
    <t>Heifers Eating Silage</t>
  </si>
  <si>
    <t>Herd Hay Silage Consumed (Lbs DM/day)</t>
  </si>
  <si>
    <t>Herd Corn Silage Consumed (Lbs DM/day)</t>
  </si>
  <si>
    <t>Herd Daily Total DMI (lbs/day)</t>
  </si>
  <si>
    <t>Consumption</t>
  </si>
  <si>
    <t>Herd Annual</t>
  </si>
  <si>
    <t>Herd Annual Hay Consumption</t>
  </si>
  <si>
    <t>Herd Annual Corn Silage Consumption</t>
  </si>
  <si>
    <t>Herd Annual Total Forage Consumption</t>
  </si>
  <si>
    <t>Move From Not So Good</t>
  </si>
  <si>
    <t>Change "Not so good to good management"</t>
  </si>
  <si>
    <t>Determining Value of Improved Silage Management</t>
  </si>
  <si>
    <t>Brian J. Holmes</t>
  </si>
  <si>
    <t>Professor and Extension Specialist</t>
  </si>
  <si>
    <t>Biological Systems Engineering Dept.</t>
  </si>
  <si>
    <t>Madison, WI 53706</t>
  </si>
  <si>
    <t>608-262-0096</t>
  </si>
  <si>
    <t>bjholmes@wisc.edu</t>
  </si>
  <si>
    <t>460 Henry Mall</t>
  </si>
  <si>
    <t xml:space="preserve"> appreciate the benefits of improved forage management from harvest through feeding.</t>
  </si>
  <si>
    <r>
      <t xml:space="preserve">Determining Value of Improved Silage Management </t>
    </r>
    <r>
      <rPr>
        <sz val="12"/>
        <rFont val="Arial"/>
        <family val="2"/>
      </rPr>
      <t xml:space="preserve">spreadsheet was developed to help producers </t>
    </r>
  </si>
  <si>
    <t>Users are allowed to  change  the  values  in  cells  with  yellow  background.</t>
  </si>
  <si>
    <t>Cells B5 - D7 are used to establish the number of animals consuming silage and the lbs of dry matter consumed as hay silage and corn silage per animal per day</t>
  </si>
  <si>
    <t>In cells B14 and B15, the user can enter the price per ton of hay and corn silage dry matter.</t>
  </si>
  <si>
    <t>Feeding Loss</t>
  </si>
  <si>
    <t>Storage Loss</t>
  </si>
  <si>
    <t xml:space="preserve">Filling Loss </t>
  </si>
  <si>
    <t xml:space="preserve">Harvest Loss </t>
  </si>
  <si>
    <t xml:space="preserve">Feeding Loss </t>
  </si>
  <si>
    <t xml:space="preserve">Storage Loss </t>
  </si>
  <si>
    <t>Storage Feed Out Loss</t>
  </si>
  <si>
    <t xml:space="preserve">In cells B28-B32, the user can estimate losses of hay forage at each of the steps from harvest to feeding when using good management practices for each step. </t>
  </si>
  <si>
    <t xml:space="preserve">In cells G28-G32, the user can estimate losses of whole plant corn forage at each of the steps from harvest to feeding when using good management practices for each step. </t>
  </si>
  <si>
    <t xml:space="preserve">In cells B45-B49, the user can estimate losses of hay forage at each of the steps from harvest to feeding when using not so good management practices for each step. </t>
  </si>
  <si>
    <t xml:space="preserve">In cells G45-G49, the user can estimate losses of whole plant corn forage at each of the steps from harvest to feeding when using not so good management practices for each step. </t>
  </si>
  <si>
    <t>INPUTS</t>
  </si>
  <si>
    <t>RESULTS</t>
  </si>
  <si>
    <t>Cells B10-B12 display the quantities of forage dry matter fed to the herd each day.</t>
  </si>
  <si>
    <t>Cells B20-B22 display the quantities of forage dry matter fed to the herd each year.</t>
  </si>
  <si>
    <t>Cells H28-H32 are intermediate values representing the quantity of whole plant corn silage remaining before an operation each year when using good management. The actual amount fed is in cell B21.</t>
  </si>
  <si>
    <t>Cells H28-H32 are the dry matter losses occuring at each step for whole plant orn silage using good management. The Total DM loss is in cell H35.</t>
  </si>
  <si>
    <t>Cells D28-D32 are the dry matter losses occuring at each step for hay silage using good management. The Total DM loss is in cell D35.</t>
  </si>
  <si>
    <t>Cells J28-J32 are the value of dry matter losses occuring at each step for whole plant orn silage using good management. The Total value of DM loss is in cell J35.</t>
  </si>
  <si>
    <t>Cells E28-E32 are the value of dry matter losses occuring at each step for hay silage using good management. The Total value of DM loss is in cell E35.</t>
  </si>
  <si>
    <t>The total  value of all forage lost is in cell l35.</t>
  </si>
  <si>
    <t xml:space="preserve">                These values are less than the sum of loss percentage at each step because each step loss is based on a lower quantity of forage than the previous step.</t>
  </si>
  <si>
    <t>Cells C28-C32 are intermediate values representing the quantity of hay silage remaining before an operation each year when using good management. The actual amount fed is in cell B20.</t>
  </si>
  <si>
    <t>Cells C45-C49 are intermediate values representing the quantity of hay silage remaining before an operation each year when using not so good management. The actual amount fed is in cell B20.</t>
  </si>
  <si>
    <t>Cells H45-H49 are intermediate values representing the quantity of whole plant corn silage remaining before an operation each year when using not so good management. The actual amount fed is in cell B21.</t>
  </si>
  <si>
    <t>Cells D45-D49 are the dry matter losses occuring at each step for hay silage using good management. The Total DM loss is in cell D52.</t>
  </si>
  <si>
    <t>Cells H45-H49 are the dry matter losses occuring at each step for whole plant corn silage using not so good management. The Total DM loss is in cell H52.</t>
  </si>
  <si>
    <t>Cells E45-E49 are the value of dry matter losses occuring at each step for hay silage using not so good management. The Total value of DM loss is in cell E52.</t>
  </si>
  <si>
    <t>Cells J45-J49 are the value of dry matter losses occuring at each step for whole plant orn silage using not so good management. The Total value of DM loss is in cell J52.</t>
  </si>
  <si>
    <t>The total  value of all forage lost is in cell l52.</t>
  </si>
  <si>
    <t xml:space="preserve">The cumulative percent of forage loss is in cells B53 and G53 for hay and whole plant corn silage respectively. </t>
  </si>
  <si>
    <t xml:space="preserve">The cumulative percent loss of forage is in cells B36 and G36 for hay and whole plant corn silage respectively. </t>
  </si>
  <si>
    <t>Percentage</t>
  </si>
  <si>
    <t>Hay Lost</t>
  </si>
  <si>
    <t>Value Lost ($/yr)</t>
  </si>
  <si>
    <t>Changing from Not So Good Management to Good Management</t>
  </si>
  <si>
    <t xml:space="preserve"> As long as the costs to achieve these benefits are less than the financial benefits, it is a good financial decision to adopt the practices necessary to achieve the benefits. </t>
  </si>
  <si>
    <t xml:space="preserve"> An analysis of these costs is beyond the scope of this spreadsheet.</t>
  </si>
  <si>
    <t xml:space="preserve">Benefits can acrue from changing from not so good management to good management. These benefits are summarized in this section of the spreadsheet. </t>
  </si>
  <si>
    <t xml:space="preserve">Cells D64 and I64 show the improvement in quantity of dry matter loss for the hay and whole plant corn silage respectively when changing from not so good management to good management. </t>
  </si>
  <si>
    <t xml:space="preserve">Cells B64 and G64 show the improvement in cumulative dry matter loss percentage for the hay and whole plant corn silage respectively when changing from not so good management to good management. </t>
  </si>
  <si>
    <t xml:space="preserve">Cells E64 and J64 show the improvement in value of dry matter loss for the hay and whole plant corn silage respectively when changing from not so good management to good management. </t>
  </si>
  <si>
    <t>Cell L64 shows the total value of improved forage mangement by changing from not so good to good management.</t>
  </si>
  <si>
    <t>Good</t>
  </si>
  <si>
    <t>Management</t>
  </si>
  <si>
    <t xml:space="preserve">Not So Good </t>
  </si>
  <si>
    <t>Price of Corn ($/Bu)=</t>
  </si>
  <si>
    <t>Value of TDN ($/lb DM) =</t>
  </si>
  <si>
    <t>Ton of Forage Dry Matter ($/T DM)=</t>
  </si>
  <si>
    <t xml:space="preserve">     Yellow cells are user changeable</t>
  </si>
  <si>
    <t>No</t>
  </si>
  <si>
    <t>Yes</t>
  </si>
  <si>
    <t>Identify Below Where Heating Occurred by selectiog Only One "Yes" for Each Column E and F</t>
  </si>
  <si>
    <t>Reduction</t>
  </si>
  <si>
    <t xml:space="preserve">of Quantity </t>
  </si>
  <si>
    <t>of Value</t>
  </si>
  <si>
    <t>Total Reduction of</t>
  </si>
  <si>
    <t>%</t>
  </si>
  <si>
    <t xml:space="preserve">  /yr</t>
  </si>
  <si>
    <t>Cells E12, and F12 allow the user to establish how much Total Digestible Nutrients (TDN) are made undigestable through heating. Heating causes TDN to be made unavailable when the Temperature exceeds 100F. Zero is an acceptable answer if no heating has occured.</t>
  </si>
  <si>
    <t xml:space="preserve">In cells F18-F20, place the curser on the cell, click the arrow and select "Yes" for only one stage of the process where heating has happened when Not So Good Management is being practiced. </t>
  </si>
  <si>
    <t xml:space="preserve">In cells E18-E20, place the curser on the cell, click the arrow and select "Yes" for only one stage of the process where heating has happened when Good Management is being practiced. </t>
  </si>
  <si>
    <t>If "Yes" is selected more than once in Column E or Column F, an error message will be printed with red text in Column I. Change the number of "Yes's" in each column to one or less.</t>
  </si>
  <si>
    <t>The step Storage Feed Out Loss involves losses occuring during feedout including placing feed into a mixer. One contributing factor to losses at feedout is aerobic deterioration of silage due to exposure to oxygen for extended periods of time (low feedout rate, silage accumulated on floor for extended period).</t>
  </si>
  <si>
    <t>Cells   with   purple   backgrounds are calculated values and are protected agains user changes.</t>
  </si>
  <si>
    <t>Cell E13 allows the price of corn to be entered. The value of TDN is established by equation based on the price of corn.</t>
  </si>
  <si>
    <t>The value of TDN not available to the animal is listed in cells E16 and F16 based on a Ton of Dry Matter remaining after the dry matter losses have occurred.</t>
  </si>
  <si>
    <t>Value of Unavailable TDN per</t>
  </si>
  <si>
    <t>Unavailable TDN (%) =</t>
  </si>
  <si>
    <t xml:space="preserve">     Total Forage</t>
  </si>
  <si>
    <t xml:space="preserve">    Must Equal 100</t>
  </si>
  <si>
    <t xml:space="preserve">                                                         Silage</t>
  </si>
  <si>
    <t>(Lbs DM/animal/day)</t>
  </si>
  <si>
    <t>in the ration       (%)</t>
  </si>
  <si>
    <t xml:space="preserve">                                      Hay Ratio</t>
  </si>
  <si>
    <t>Modified: July 8, 2011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</si>
</sst>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409]h:mm:ss\ AM/PM"/>
    <numFmt numFmtId="168" formatCode="0.000"/>
    <numFmt numFmtId="169" formatCode="&quot;$&quot;#,##0.00"/>
    <numFmt numFmtId="170" formatCode="&quot;$&quot;#,##0"/>
  </numFmts>
  <fonts count="48">
    <font>
      <sz val="10"/>
      <name val="Arial"/>
      <family val="0"/>
    </font>
    <font>
      <sz val="8"/>
      <name val="Arial"/>
      <family val="0"/>
    </font>
    <font>
      <b/>
      <sz val="12"/>
      <name val="Arial"/>
      <family val="2"/>
    </font>
    <font>
      <u val="single"/>
      <sz val="10"/>
      <color indexed="12"/>
      <name val="Arial"/>
      <family val="0"/>
    </font>
    <font>
      <u val="single"/>
      <sz val="10"/>
      <color indexed="36"/>
      <name val="Arial"/>
      <family val="0"/>
    </font>
    <font>
      <b/>
      <sz val="10"/>
      <color indexed="10"/>
      <name val="Arial"/>
      <family val="2"/>
    </font>
    <font>
      <b/>
      <sz val="14"/>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2"/>
      <color indexed="10"/>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2"/>
      <color rgb="FFFF0000"/>
      <name val="Arial"/>
      <family val="2"/>
    </font>
    <font>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
      <patternFill patternType="solid">
        <fgColor indexed="10"/>
        <bgColor indexed="64"/>
      </patternFill>
    </fill>
    <fill>
      <patternFill patternType="solid">
        <fgColor indexed="46"/>
        <bgColor indexed="64"/>
      </patternFill>
    </fill>
    <fill>
      <patternFill patternType="solid">
        <fgColor rgb="FFFF99CC"/>
        <bgColor indexed="64"/>
      </patternFill>
    </fill>
    <fill>
      <patternFill patternType="solid">
        <fgColor rgb="FFCCFFCC"/>
        <bgColor indexed="64"/>
      </patternFill>
    </fill>
    <fill>
      <patternFill patternType="solid">
        <fgColor rgb="FFFFFF0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0" fontId="0" fillId="33" borderId="0" xfId="0" applyFill="1" applyAlignment="1">
      <alignment/>
    </xf>
    <xf numFmtId="0" fontId="0" fillId="34" borderId="0" xfId="0" applyFill="1" applyAlignment="1">
      <alignment/>
    </xf>
    <xf numFmtId="3" fontId="0" fillId="33" borderId="0" xfId="0" applyNumberFormat="1" applyFill="1" applyAlignment="1">
      <alignment/>
    </xf>
    <xf numFmtId="164" fontId="0" fillId="0" borderId="0" xfId="0" applyNumberFormat="1" applyAlignment="1">
      <alignment/>
    </xf>
    <xf numFmtId="2" fontId="0" fillId="0" borderId="0" xfId="0" applyNumberFormat="1" applyAlignment="1">
      <alignment/>
    </xf>
    <xf numFmtId="164" fontId="0" fillId="33" borderId="0" xfId="0" applyNumberFormat="1" applyFill="1" applyAlignment="1">
      <alignment/>
    </xf>
    <xf numFmtId="4" fontId="0" fillId="33" borderId="0" xfId="0" applyNumberFormat="1" applyFill="1" applyAlignment="1">
      <alignment/>
    </xf>
    <xf numFmtId="0" fontId="2" fillId="0" borderId="0" xfId="0" applyFont="1" applyAlignment="1">
      <alignment/>
    </xf>
    <xf numFmtId="2" fontId="0" fillId="33" borderId="0" xfId="0" applyNumberFormat="1" applyFill="1" applyAlignment="1">
      <alignment/>
    </xf>
    <xf numFmtId="164" fontId="0" fillId="0" borderId="0" xfId="0" applyNumberFormat="1" applyFill="1" applyAlignment="1">
      <alignment/>
    </xf>
    <xf numFmtId="165" fontId="0" fillId="33" borderId="0" xfId="0" applyNumberFormat="1" applyFill="1" applyAlignment="1">
      <alignment/>
    </xf>
    <xf numFmtId="0" fontId="0" fillId="35" borderId="0" xfId="0" applyFill="1" applyAlignment="1">
      <alignment/>
    </xf>
    <xf numFmtId="0" fontId="0" fillId="35" borderId="0" xfId="0" applyFill="1" applyAlignment="1">
      <alignment horizontal="right"/>
    </xf>
    <xf numFmtId="0" fontId="0" fillId="35" borderId="0" xfId="0" applyFill="1" applyAlignment="1">
      <alignment horizontal="center"/>
    </xf>
    <xf numFmtId="0" fontId="0" fillId="36" borderId="0" xfId="0" applyFill="1" applyAlignment="1">
      <alignment/>
    </xf>
    <xf numFmtId="0" fontId="0" fillId="0" borderId="0" xfId="0" applyFill="1" applyAlignment="1">
      <alignment/>
    </xf>
    <xf numFmtId="0" fontId="0" fillId="0" borderId="0" xfId="53" applyFont="1" applyFill="1" applyAlignment="1" applyProtection="1">
      <alignment/>
      <protection/>
    </xf>
    <xf numFmtId="0" fontId="5" fillId="0" borderId="0" xfId="0" applyFont="1" applyAlignment="1">
      <alignment/>
    </xf>
    <xf numFmtId="3" fontId="0" fillId="35" borderId="0" xfId="0" applyNumberFormat="1" applyFill="1" applyAlignment="1">
      <alignment/>
    </xf>
    <xf numFmtId="0" fontId="6" fillId="37" borderId="10" xfId="0" applyFont="1"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0" xfId="0" applyFill="1" applyAlignment="1">
      <alignment/>
    </xf>
    <xf numFmtId="0" fontId="0" fillId="37" borderId="14" xfId="0" applyFill="1" applyBorder="1" applyAlignment="1">
      <alignment/>
    </xf>
    <xf numFmtId="0" fontId="3" fillId="37" borderId="15" xfId="53" applyFill="1" applyBorder="1" applyAlignment="1" applyProtection="1">
      <alignment/>
      <protection/>
    </xf>
    <xf numFmtId="0" fontId="0" fillId="37" borderId="16" xfId="0" applyFill="1" applyBorder="1" applyAlignment="1">
      <alignment/>
    </xf>
    <xf numFmtId="0" fontId="0" fillId="37" borderId="17" xfId="0" applyFill="1" applyBorder="1" applyAlignment="1">
      <alignment/>
    </xf>
    <xf numFmtId="0" fontId="7" fillId="0" borderId="10" xfId="0" applyFont="1" applyFill="1" applyBorder="1" applyAlignment="1">
      <alignment/>
    </xf>
    <xf numFmtId="0" fontId="2" fillId="0" borderId="10" xfId="0" applyFont="1" applyFill="1" applyBorder="1" applyAlignment="1">
      <alignment/>
    </xf>
    <xf numFmtId="0" fontId="0" fillId="38" borderId="0" xfId="0" applyFill="1" applyAlignment="1">
      <alignment/>
    </xf>
    <xf numFmtId="2" fontId="0" fillId="38" borderId="0" xfId="0" applyNumberFormat="1" applyFill="1" applyAlignment="1">
      <alignment/>
    </xf>
    <xf numFmtId="168" fontId="0" fillId="38" borderId="0" xfId="0" applyNumberFormat="1" applyFill="1" applyAlignment="1">
      <alignment/>
    </xf>
    <xf numFmtId="0" fontId="0" fillId="39" borderId="0" xfId="0" applyFill="1" applyAlignment="1">
      <alignment/>
    </xf>
    <xf numFmtId="0" fontId="0" fillId="0" borderId="0" xfId="0" applyFont="1" applyAlignment="1">
      <alignment/>
    </xf>
    <xf numFmtId="0" fontId="0" fillId="39" borderId="0" xfId="0" applyFont="1" applyFill="1" applyAlignment="1">
      <alignment/>
    </xf>
    <xf numFmtId="0" fontId="0" fillId="0" borderId="18" xfId="0" applyBorder="1" applyAlignment="1">
      <alignment/>
    </xf>
    <xf numFmtId="3" fontId="0" fillId="33" borderId="18" xfId="0" applyNumberFormat="1" applyFill="1" applyBorder="1" applyAlignment="1">
      <alignment/>
    </xf>
    <xf numFmtId="165" fontId="0" fillId="33" borderId="18" xfId="0" applyNumberFormat="1" applyFill="1" applyBorder="1" applyAlignment="1">
      <alignment/>
    </xf>
    <xf numFmtId="0" fontId="0" fillId="37" borderId="0" xfId="0" applyFont="1" applyFill="1" applyAlignment="1">
      <alignment/>
    </xf>
    <xf numFmtId="0" fontId="0" fillId="0" borderId="0" xfId="0" applyFill="1" applyAlignment="1" applyProtection="1">
      <alignment/>
      <protection locked="0"/>
    </xf>
    <xf numFmtId="0" fontId="0" fillId="34" borderId="19" xfId="0" applyFill="1" applyBorder="1" applyAlignment="1" applyProtection="1">
      <alignment/>
      <protection locked="0"/>
    </xf>
    <xf numFmtId="0" fontId="0" fillId="40" borderId="19" xfId="0" applyFill="1" applyBorder="1" applyAlignment="1" applyProtection="1">
      <alignment/>
      <protection locked="0"/>
    </xf>
    <xf numFmtId="2" fontId="0" fillId="40" borderId="19" xfId="0" applyNumberFormat="1" applyFill="1" applyBorder="1" applyAlignment="1" applyProtection="1">
      <alignment/>
      <protection locked="0"/>
    </xf>
    <xf numFmtId="0" fontId="0" fillId="35" borderId="0" xfId="0" applyFont="1" applyFill="1" applyAlignment="1">
      <alignment horizontal="right"/>
    </xf>
    <xf numFmtId="0" fontId="0" fillId="0" borderId="20" xfId="0" applyBorder="1" applyAlignment="1">
      <alignment/>
    </xf>
    <xf numFmtId="0" fontId="0" fillId="39" borderId="0" xfId="0" applyFill="1" applyAlignment="1">
      <alignment horizontal="right"/>
    </xf>
    <xf numFmtId="0" fontId="2" fillId="39" borderId="16" xfId="0" applyFont="1" applyFill="1" applyBorder="1" applyAlignment="1">
      <alignment/>
    </xf>
    <xf numFmtId="0" fontId="6" fillId="0" borderId="0" xfId="0" applyFont="1" applyAlignment="1">
      <alignment/>
    </xf>
    <xf numFmtId="170" fontId="0" fillId="33" borderId="0" xfId="0" applyNumberFormat="1" applyFill="1" applyAlignment="1">
      <alignment/>
    </xf>
    <xf numFmtId="0" fontId="45" fillId="0" borderId="0" xfId="0" applyFont="1" applyFill="1" applyAlignment="1">
      <alignment/>
    </xf>
    <xf numFmtId="0" fontId="46" fillId="0" borderId="0" xfId="0" applyFont="1" applyFill="1" applyAlignment="1">
      <alignment/>
    </xf>
    <xf numFmtId="164" fontId="0" fillId="38" borderId="0" xfId="0" applyNumberFormat="1" applyFill="1" applyAlignment="1">
      <alignment/>
    </xf>
    <xf numFmtId="4" fontId="0" fillId="38" borderId="0" xfId="0" applyNumberFormat="1" applyFill="1" applyAlignment="1">
      <alignment/>
    </xf>
    <xf numFmtId="0" fontId="47"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jholmes@wisc.ed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68"/>
  <sheetViews>
    <sheetView tabSelected="1" zoomScale="73" zoomScaleNormal="73" zoomScalePageLayoutView="0" workbookViewId="0" topLeftCell="A1">
      <selection activeCell="E5" sqref="E5"/>
    </sheetView>
  </sheetViews>
  <sheetFormatPr defaultColWidth="9.140625" defaultRowHeight="12.75"/>
  <cols>
    <col min="1" max="1" width="45.8515625" style="0" customWidth="1"/>
    <col min="2" max="2" width="11.00390625" style="0" bestFit="1" customWidth="1"/>
    <col min="3" max="3" width="19.00390625" style="0" customWidth="1"/>
    <col min="4" max="4" width="30.421875" style="0" customWidth="1"/>
    <col min="5" max="5" width="16.8515625" style="0" customWidth="1"/>
    <col min="6" max="6" width="12.421875" style="0" customWidth="1"/>
    <col min="7" max="7" width="11.421875" style="0" customWidth="1"/>
    <col min="9" max="9" width="14.28125" style="0" customWidth="1"/>
    <col min="10" max="10" width="13.421875" style="0" customWidth="1"/>
    <col min="12" max="12" width="13.7109375" style="0" customWidth="1"/>
  </cols>
  <sheetData>
    <row r="2" spans="2:7" ht="12.75">
      <c r="B2" s="12" t="s">
        <v>22</v>
      </c>
      <c r="C2" s="12"/>
      <c r="D2" s="36" t="s">
        <v>121</v>
      </c>
      <c r="E2" s="12"/>
      <c r="F2" s="36" t="s">
        <v>119</v>
      </c>
      <c r="G2" s="12"/>
    </row>
    <row r="3" spans="2:7" ht="13.5" thickBot="1">
      <c r="B3" s="12" t="s">
        <v>23</v>
      </c>
      <c r="C3" s="12" t="s">
        <v>11</v>
      </c>
      <c r="D3" s="36" t="s">
        <v>124</v>
      </c>
      <c r="E3" s="13" t="s">
        <v>13</v>
      </c>
      <c r="F3" s="36" t="s">
        <v>120</v>
      </c>
      <c r="G3" s="12"/>
    </row>
    <row r="4" spans="2:14" ht="18.75" thickTop="1">
      <c r="B4" s="12"/>
      <c r="C4" s="36" t="s">
        <v>122</v>
      </c>
      <c r="D4" s="45" t="s">
        <v>123</v>
      </c>
      <c r="E4" s="13" t="s">
        <v>12</v>
      </c>
      <c r="F4" s="13" t="s">
        <v>12</v>
      </c>
      <c r="G4" s="12"/>
      <c r="H4" s="20" t="s">
        <v>37</v>
      </c>
      <c r="I4" s="21"/>
      <c r="J4" s="21"/>
      <c r="K4" s="21"/>
      <c r="L4" s="21"/>
      <c r="M4" s="21"/>
      <c r="N4" s="22"/>
    </row>
    <row r="5" spans="1:14" ht="12.75">
      <c r="A5" t="s">
        <v>24</v>
      </c>
      <c r="B5" s="42">
        <v>85</v>
      </c>
      <c r="C5" s="42">
        <v>26</v>
      </c>
      <c r="D5" s="42">
        <v>60</v>
      </c>
      <c r="E5" s="1">
        <f>100-D5</f>
        <v>40</v>
      </c>
      <c r="F5" s="1">
        <f>D5+E5</f>
        <v>100</v>
      </c>
      <c r="G5" s="18" t="str">
        <f>IF(F5&lt;&gt;100,"Must Equal 100%"," ")</f>
        <v> </v>
      </c>
      <c r="H5" s="23" t="s">
        <v>38</v>
      </c>
      <c r="I5" s="24"/>
      <c r="J5" s="24"/>
      <c r="K5" s="40" t="s">
        <v>125</v>
      </c>
      <c r="L5" s="24"/>
      <c r="M5" s="24"/>
      <c r="N5" s="25"/>
    </row>
    <row r="6" spans="1:14" ht="12.75">
      <c r="A6" t="s">
        <v>25</v>
      </c>
      <c r="B6" s="42">
        <v>15</v>
      </c>
      <c r="C6" s="42">
        <v>21</v>
      </c>
      <c r="D6" s="42">
        <v>60</v>
      </c>
      <c r="E6" s="1">
        <f>100-D6</f>
        <v>40</v>
      </c>
      <c r="F6" s="1">
        <f>D6+E6</f>
        <v>100</v>
      </c>
      <c r="G6" s="18" t="str">
        <f>IF(F6&lt;&gt;100,"Must Equal 100%"," ")</f>
        <v> </v>
      </c>
      <c r="H6" s="23" t="s">
        <v>39</v>
      </c>
      <c r="I6" s="24"/>
      <c r="J6" s="24"/>
      <c r="K6" s="24"/>
      <c r="L6" s="24"/>
      <c r="M6" s="24"/>
      <c r="N6" s="25"/>
    </row>
    <row r="7" spans="1:14" ht="12.75">
      <c r="A7" t="s">
        <v>26</v>
      </c>
      <c r="B7" s="42">
        <v>84</v>
      </c>
      <c r="C7" s="42">
        <v>14</v>
      </c>
      <c r="D7" s="42">
        <v>50</v>
      </c>
      <c r="E7" s="1">
        <f>100-D7</f>
        <v>50</v>
      </c>
      <c r="F7" s="31">
        <f>D7+E7</f>
        <v>100</v>
      </c>
      <c r="G7" s="18" t="str">
        <f>IF(F7&lt;&gt;100,"Must Equal 100%"," ")</f>
        <v> </v>
      </c>
      <c r="H7" s="23" t="s">
        <v>40</v>
      </c>
      <c r="I7" s="24"/>
      <c r="J7" s="24"/>
      <c r="K7" s="24"/>
      <c r="L7" s="2" t="s">
        <v>99</v>
      </c>
      <c r="M7" s="24"/>
      <c r="N7" s="25"/>
    </row>
    <row r="8" spans="8:14" ht="12.75">
      <c r="H8" s="23" t="s">
        <v>44</v>
      </c>
      <c r="I8" s="24"/>
      <c r="J8" s="24"/>
      <c r="K8" s="24"/>
      <c r="L8" s="24"/>
      <c r="M8" s="24"/>
      <c r="N8" s="25"/>
    </row>
    <row r="9" spans="8:14" ht="12.75">
      <c r="H9" s="23" t="s">
        <v>41</v>
      </c>
      <c r="I9" s="24"/>
      <c r="J9" s="24"/>
      <c r="K9" s="24"/>
      <c r="L9" s="24"/>
      <c r="M9" s="24"/>
      <c r="N9" s="25"/>
    </row>
    <row r="10" spans="1:14" ht="12.75">
      <c r="A10" t="s">
        <v>27</v>
      </c>
      <c r="B10" s="3">
        <f>B5*C5*(D5/100)+B6*C6*(D6/100)+B7*C7*(D7/100)</f>
        <v>2103</v>
      </c>
      <c r="C10" s="5"/>
      <c r="E10" s="34" t="s">
        <v>93</v>
      </c>
      <c r="F10" s="34" t="s">
        <v>95</v>
      </c>
      <c r="H10" s="23" t="s">
        <v>42</v>
      </c>
      <c r="I10" s="24"/>
      <c r="J10" s="24"/>
      <c r="K10" s="24"/>
      <c r="L10" s="24"/>
      <c r="M10" s="24"/>
      <c r="N10" s="25"/>
    </row>
    <row r="11" spans="1:14" ht="13.5" thickBot="1">
      <c r="A11" s="37" t="s">
        <v>28</v>
      </c>
      <c r="B11" s="38">
        <f>B5*C5*(E5/100)+B6*C6*(E6/100)+B7*C7*(E7/100)</f>
        <v>1598</v>
      </c>
      <c r="C11" s="5"/>
      <c r="E11" s="34" t="s">
        <v>94</v>
      </c>
      <c r="F11" s="34" t="s">
        <v>94</v>
      </c>
      <c r="H11" s="26" t="s">
        <v>43</v>
      </c>
      <c r="I11" s="27"/>
      <c r="J11" s="27"/>
      <c r="K11" s="27"/>
      <c r="L11" s="27"/>
      <c r="M11" s="27"/>
      <c r="N11" s="28"/>
    </row>
    <row r="12" spans="1:6" ht="13.5" thickTop="1">
      <c r="A12" t="s">
        <v>29</v>
      </c>
      <c r="B12" s="3">
        <f>B10+B11</f>
        <v>3701</v>
      </c>
      <c r="D12" s="35" t="s">
        <v>118</v>
      </c>
      <c r="E12" s="43">
        <v>1</v>
      </c>
      <c r="F12" s="43">
        <v>5</v>
      </c>
    </row>
    <row r="13" spans="2:6" ht="12.75">
      <c r="B13" s="16"/>
      <c r="D13" t="s">
        <v>96</v>
      </c>
      <c r="E13" s="44">
        <v>6</v>
      </c>
      <c r="F13" s="32">
        <f>E13</f>
        <v>6</v>
      </c>
    </row>
    <row r="14" spans="1:6" ht="12.75">
      <c r="A14" t="s">
        <v>0</v>
      </c>
      <c r="B14" s="42">
        <v>150</v>
      </c>
      <c r="D14" t="s">
        <v>97</v>
      </c>
      <c r="E14" s="33">
        <f>(2.3171*E13-1.7771)/100</f>
        <v>0.12125499999999999</v>
      </c>
      <c r="F14" s="33">
        <f>E14</f>
        <v>0.12125499999999999</v>
      </c>
    </row>
    <row r="15" spans="1:7" ht="12.75">
      <c r="A15" t="s">
        <v>1</v>
      </c>
      <c r="B15" s="42">
        <v>125</v>
      </c>
      <c r="D15" s="35" t="s">
        <v>117</v>
      </c>
      <c r="G15" s="35"/>
    </row>
    <row r="16" spans="4:6" ht="12.75">
      <c r="D16" t="s">
        <v>98</v>
      </c>
      <c r="E16" s="32">
        <f>(E12/100)*2000*E14</f>
        <v>2.4250999999999996</v>
      </c>
      <c r="F16" s="32">
        <f>(F12/100)*2000*F14</f>
        <v>12.125499999999999</v>
      </c>
    </row>
    <row r="17" spans="2:9" ht="12.75">
      <c r="B17" s="12" t="s">
        <v>31</v>
      </c>
      <c r="C17" s="12"/>
      <c r="D17" s="36" t="s">
        <v>102</v>
      </c>
      <c r="E17" s="34"/>
      <c r="F17" s="34"/>
      <c r="G17" s="34"/>
      <c r="H17" s="34"/>
      <c r="I17" s="34"/>
    </row>
    <row r="18" spans="2:14" ht="15.75">
      <c r="B18" s="19" t="s">
        <v>30</v>
      </c>
      <c r="C18" s="12"/>
      <c r="D18" t="s">
        <v>50</v>
      </c>
      <c r="E18" s="43" t="s">
        <v>100</v>
      </c>
      <c r="F18" s="43" t="s">
        <v>100</v>
      </c>
      <c r="G18" s="51" t="str">
        <f>IF(E18="Yes",1," ")</f>
        <v> </v>
      </c>
      <c r="H18" s="51" t="str">
        <f>IF(F18="Yes",1," ")</f>
        <v> </v>
      </c>
      <c r="I18" s="52" t="str">
        <f>IF(G22&gt;1,"Select only one Yes in Column E"," ")</f>
        <v> </v>
      </c>
      <c r="J18" s="16"/>
      <c r="K18" s="16"/>
      <c r="L18" s="16"/>
      <c r="M18" s="16"/>
      <c r="N18" s="51" t="s">
        <v>100</v>
      </c>
    </row>
    <row r="19" spans="2:14" ht="15.75">
      <c r="B19" s="19" t="s">
        <v>8</v>
      </c>
      <c r="C19" s="13" t="s">
        <v>15</v>
      </c>
      <c r="D19" t="s">
        <v>56</v>
      </c>
      <c r="E19" s="43" t="s">
        <v>100</v>
      </c>
      <c r="F19" s="43" t="s">
        <v>101</v>
      </c>
      <c r="G19" s="51" t="str">
        <f aca="true" t="shared" si="0" ref="G19:H21">IF(E19="Yes",1," ")</f>
        <v> </v>
      </c>
      <c r="H19" s="51">
        <f t="shared" si="0"/>
        <v>1</v>
      </c>
      <c r="I19" s="52" t="str">
        <f>IF(H22&gt;1,"Select only one Yes in Column F"," ")</f>
        <v> </v>
      </c>
      <c r="J19" s="16"/>
      <c r="K19" s="16"/>
      <c r="L19" s="16"/>
      <c r="M19" s="16"/>
      <c r="N19" s="51" t="s">
        <v>101</v>
      </c>
    </row>
    <row r="20" spans="1:14" ht="15.75">
      <c r="A20" t="s">
        <v>32</v>
      </c>
      <c r="B20" s="3">
        <f>B10*365/2000</f>
        <v>383.7975</v>
      </c>
      <c r="C20" s="11">
        <f>100*B20/(B20+B21)</f>
        <v>56.82248041069981</v>
      </c>
      <c r="D20" t="s">
        <v>51</v>
      </c>
      <c r="E20" s="43" t="s">
        <v>101</v>
      </c>
      <c r="F20" s="43" t="s">
        <v>100</v>
      </c>
      <c r="G20" s="51">
        <f t="shared" si="0"/>
        <v>1</v>
      </c>
      <c r="H20" s="51" t="str">
        <f t="shared" si="0"/>
        <v> </v>
      </c>
      <c r="I20" s="52" t="str">
        <f>IF(G22&lt;1,"Select only one Yes in Column E. If no TDN unavailability, Set Unavailable TDN to zero in Cell E12."," ")</f>
        <v> </v>
      </c>
      <c r="J20" s="16"/>
      <c r="K20" s="16"/>
      <c r="L20" s="16"/>
      <c r="M20" s="16"/>
      <c r="N20" s="16"/>
    </row>
    <row r="21" spans="1:14" ht="15.75">
      <c r="A21" s="37" t="s">
        <v>33</v>
      </c>
      <c r="B21" s="38">
        <f>B11*365/2000</f>
        <v>291.635</v>
      </c>
      <c r="C21" s="39">
        <f>100*B21/(B20+B21)</f>
        <v>43.17751958930019</v>
      </c>
      <c r="E21" s="41"/>
      <c r="F21" s="41"/>
      <c r="G21" s="51" t="str">
        <f t="shared" si="0"/>
        <v> </v>
      </c>
      <c r="H21" s="51" t="str">
        <f t="shared" si="0"/>
        <v> </v>
      </c>
      <c r="I21" s="52" t="str">
        <f>IF(H22&lt;1,"Select only one Yes in Column F. If no TDN unavailability, Set Unavailable TDN to zero in Cell F12."," ")</f>
        <v> </v>
      </c>
      <c r="J21" s="16"/>
      <c r="K21" s="16"/>
      <c r="L21" s="16"/>
      <c r="M21" s="16"/>
      <c r="N21" s="16"/>
    </row>
    <row r="22" spans="1:14" ht="12.75">
      <c r="A22" t="s">
        <v>34</v>
      </c>
      <c r="B22" s="3">
        <f>B20+B21</f>
        <v>675.4325</v>
      </c>
      <c r="C22" s="1">
        <v>100</v>
      </c>
      <c r="G22" s="55">
        <f>SUM(G18:G20)</f>
        <v>1</v>
      </c>
      <c r="H22" s="55">
        <f>SUM(H18:H20)</f>
        <v>1</v>
      </c>
      <c r="I22" s="16"/>
      <c r="J22" s="16"/>
      <c r="K22" s="16"/>
      <c r="L22" s="16"/>
      <c r="M22" s="16"/>
      <c r="N22" s="16"/>
    </row>
    <row r="23" spans="1:12" ht="12.75">
      <c r="A23" s="15"/>
      <c r="B23" s="15"/>
      <c r="C23" s="15"/>
      <c r="D23" s="15"/>
      <c r="E23" s="15"/>
      <c r="F23" s="15"/>
      <c r="G23" s="15"/>
      <c r="H23" s="15"/>
      <c r="I23" s="15"/>
      <c r="J23" s="15"/>
      <c r="K23" s="15"/>
      <c r="L23" s="15"/>
    </row>
    <row r="24" spans="2:10" ht="12.75">
      <c r="B24" s="12"/>
      <c r="C24" s="12" t="s">
        <v>2</v>
      </c>
      <c r="D24" s="13" t="s">
        <v>2</v>
      </c>
      <c r="E24" s="13" t="s">
        <v>6</v>
      </c>
      <c r="F24" s="12"/>
      <c r="G24" s="12"/>
      <c r="H24" s="12" t="s">
        <v>2</v>
      </c>
      <c r="I24" s="13" t="s">
        <v>2</v>
      </c>
      <c r="J24" s="13" t="s">
        <v>6</v>
      </c>
    </row>
    <row r="25" spans="1:10" ht="18">
      <c r="A25" s="49" t="s">
        <v>9</v>
      </c>
      <c r="B25" s="12"/>
      <c r="C25" s="12" t="s">
        <v>3</v>
      </c>
      <c r="D25" s="13" t="s">
        <v>5</v>
      </c>
      <c r="E25" s="13" t="s">
        <v>5</v>
      </c>
      <c r="F25" s="12"/>
      <c r="G25" s="12"/>
      <c r="H25" s="12" t="s">
        <v>3</v>
      </c>
      <c r="I25" s="13" t="s">
        <v>5</v>
      </c>
      <c r="J25" s="13" t="s">
        <v>5</v>
      </c>
    </row>
    <row r="26" spans="1:10" ht="12.75">
      <c r="A26" s="34"/>
      <c r="B26" s="12" t="s">
        <v>16</v>
      </c>
      <c r="C26" s="12" t="s">
        <v>4</v>
      </c>
      <c r="D26" s="47"/>
      <c r="E26" s="13"/>
      <c r="F26" s="12"/>
      <c r="G26" s="12" t="s">
        <v>17</v>
      </c>
      <c r="H26" s="12" t="s">
        <v>4</v>
      </c>
      <c r="I26" s="13"/>
      <c r="J26" s="13"/>
    </row>
    <row r="27" spans="1:10" ht="16.5" thickBot="1">
      <c r="A27" s="48" t="s">
        <v>4</v>
      </c>
      <c r="B27" s="13" t="s">
        <v>12</v>
      </c>
      <c r="C27" s="12" t="s">
        <v>8</v>
      </c>
      <c r="D27" s="13" t="s">
        <v>8</v>
      </c>
      <c r="E27" s="13" t="s">
        <v>7</v>
      </c>
      <c r="F27" s="12"/>
      <c r="G27" s="13" t="s">
        <v>12</v>
      </c>
      <c r="H27" s="12" t="s">
        <v>8</v>
      </c>
      <c r="I27" s="13" t="s">
        <v>8</v>
      </c>
      <c r="J27" s="13" t="s">
        <v>7</v>
      </c>
    </row>
    <row r="28" spans="1:10" ht="13.5" thickTop="1">
      <c r="A28" t="s">
        <v>50</v>
      </c>
      <c r="B28" s="42">
        <v>5</v>
      </c>
      <c r="C28" s="6">
        <f>B20/(1-B28/100)</f>
        <v>403.99736842105267</v>
      </c>
      <c r="D28" s="6">
        <f>C28-B20</f>
        <v>20.199868421052656</v>
      </c>
      <c r="E28" s="54">
        <f>D28*B$14+(B20*(E12/100)*2000*E14)*(IF(G18=1,1,0))</f>
        <v>3029.9802631578987</v>
      </c>
      <c r="F28" s="5"/>
      <c r="G28" s="42">
        <v>5</v>
      </c>
      <c r="H28" s="6">
        <f>B21/(1-G28/100)</f>
        <v>306.9842105263158</v>
      </c>
      <c r="I28" s="6">
        <f>H28-B21</f>
        <v>15.349210526315801</v>
      </c>
      <c r="J28" s="54">
        <f>I28*B$15+(B21*(E12/100)*2000*E14)*(IF(G18=1,1,0))</f>
        <v>1918.6513157894751</v>
      </c>
    </row>
    <row r="29" spans="1:10" ht="12.75">
      <c r="A29" t="s">
        <v>56</v>
      </c>
      <c r="B29" s="42">
        <v>3</v>
      </c>
      <c r="C29" s="6">
        <f>C28/(1-B29/100)</f>
        <v>416.4921323928378</v>
      </c>
      <c r="D29" s="6">
        <f>C29-C28</f>
        <v>12.494763971785119</v>
      </c>
      <c r="E29" s="54">
        <f>D29*B$14+(C28*(E12/100)*2000*E14)*(IF(G19=1,1,0))</f>
        <v>1874.2145957677678</v>
      </c>
      <c r="F29" s="5"/>
      <c r="G29" s="42">
        <v>3</v>
      </c>
      <c r="H29" s="6">
        <f>H28/(1-G29/100)</f>
        <v>316.47856755290286</v>
      </c>
      <c r="I29" s="6">
        <f>H29-H28</f>
        <v>9.494357026587068</v>
      </c>
      <c r="J29" s="54">
        <f>I29*B$15+(H28*(E12/100)*2000*E14)*(IF(G19=1,1,0))</f>
        <v>1186.7946283233834</v>
      </c>
    </row>
    <row r="30" spans="1:10" ht="12.75">
      <c r="A30" t="s">
        <v>51</v>
      </c>
      <c r="B30" s="42">
        <v>10</v>
      </c>
      <c r="C30" s="6">
        <f>C29/(1-B30/100)</f>
        <v>462.76903599204195</v>
      </c>
      <c r="D30" s="6">
        <f>C30-C29</f>
        <v>46.27690359920416</v>
      </c>
      <c r="E30" s="54">
        <f>D30*B$14+(C29*(E12/100)*2000*E14)*(IF(G20=1,1,0))</f>
        <v>7951.570610146495</v>
      </c>
      <c r="F30" s="5"/>
      <c r="G30" s="42">
        <v>10</v>
      </c>
      <c r="H30" s="6">
        <f>H29/(1-G30/100)</f>
        <v>351.64285283655875</v>
      </c>
      <c r="I30" s="6">
        <f>H30-H29</f>
        <v>35.164285283655886</v>
      </c>
      <c r="J30" s="54">
        <f>I30*B$15+(H29*(E12/100)*2000*E14)*(IF(G20=1,1,0))</f>
        <v>5163.027834629531</v>
      </c>
    </row>
    <row r="31" spans="1:10" ht="12.75">
      <c r="A31" t="s">
        <v>52</v>
      </c>
      <c r="B31" s="42">
        <v>1</v>
      </c>
      <c r="C31" s="6">
        <f>C30/(1-B31/100)</f>
        <v>467.4434706990323</v>
      </c>
      <c r="D31" s="6">
        <f>C31-C30</f>
        <v>4.674434706990326</v>
      </c>
      <c r="E31" s="7">
        <f>D31*B$14</f>
        <v>701.1652060485488</v>
      </c>
      <c r="F31" s="5"/>
      <c r="G31" s="42">
        <v>1</v>
      </c>
      <c r="H31" s="6">
        <f>H30/(1-G31/100)</f>
        <v>355.19480084500884</v>
      </c>
      <c r="I31" s="6">
        <f>H31-H30</f>
        <v>3.551948008450097</v>
      </c>
      <c r="J31" s="7">
        <f>I31*B$15</f>
        <v>443.9935010562621</v>
      </c>
    </row>
    <row r="32" spans="1:10" ht="12.75">
      <c r="A32" t="s">
        <v>53</v>
      </c>
      <c r="B32" s="42">
        <v>6</v>
      </c>
      <c r="C32" s="6">
        <f>C31/(1-B32/100)</f>
        <v>497.28028797769394</v>
      </c>
      <c r="D32" s="6">
        <f>C32-C31</f>
        <v>29.83681727866167</v>
      </c>
      <c r="E32" s="7">
        <f>D32*B$14</f>
        <v>4475.52259179925</v>
      </c>
      <c r="F32" s="5"/>
      <c r="G32" s="42">
        <v>1</v>
      </c>
      <c r="H32" s="6">
        <f>H31/(1-G32/100)</f>
        <v>358.78262711617054</v>
      </c>
      <c r="I32" s="6">
        <f>H32-H31</f>
        <v>3.5878262711617026</v>
      </c>
      <c r="J32" s="7">
        <f>I32*B$15</f>
        <v>448.4782838952128</v>
      </c>
    </row>
    <row r="33" spans="3:12" ht="12.75">
      <c r="C33" s="10"/>
      <c r="L33" s="12" t="s">
        <v>18</v>
      </c>
    </row>
    <row r="34" ht="12.75">
      <c r="L34" s="14" t="s">
        <v>7</v>
      </c>
    </row>
    <row r="35" spans="1:13" ht="12.75">
      <c r="A35" t="s">
        <v>14</v>
      </c>
      <c r="B35" s="16"/>
      <c r="D35" s="6">
        <f>SUM(D28:D32)</f>
        <v>113.48278797769393</v>
      </c>
      <c r="E35" s="3">
        <f>SUM(E28:E32)</f>
        <v>18032.45326691996</v>
      </c>
      <c r="F35" s="35" t="s">
        <v>108</v>
      </c>
      <c r="G35" s="16"/>
      <c r="I35" s="6">
        <f>SUM(I28:I32)</f>
        <v>67.14762711617055</v>
      </c>
      <c r="J35" s="50">
        <f>SUM(J28:J32)</f>
        <v>9160.945563693864</v>
      </c>
      <c r="K35" s="35" t="s">
        <v>108</v>
      </c>
      <c r="L35" s="3">
        <f>E35+J35</f>
        <v>27193.398830613827</v>
      </c>
      <c r="M35" s="35" t="s">
        <v>108</v>
      </c>
    </row>
    <row r="36" spans="1:8" ht="12.75">
      <c r="A36" t="s">
        <v>19</v>
      </c>
      <c r="B36" s="9">
        <f>(D35/C32)*100</f>
        <v>22.820689</v>
      </c>
      <c r="C36" s="46" t="s">
        <v>107</v>
      </c>
      <c r="D36" s="4"/>
      <c r="G36" s="9">
        <f>(I35/H32)*100</f>
        <v>18.715406500000004</v>
      </c>
      <c r="H36" s="46" t="s">
        <v>107</v>
      </c>
    </row>
    <row r="38" spans="1:12" ht="12.75">
      <c r="A38" s="15"/>
      <c r="B38" s="15"/>
      <c r="C38" s="15"/>
      <c r="D38" s="15"/>
      <c r="E38" s="15"/>
      <c r="F38" s="15"/>
      <c r="G38" s="15"/>
      <c r="H38" s="15"/>
      <c r="I38" s="15"/>
      <c r="J38" s="15"/>
      <c r="K38" s="15"/>
      <c r="L38" s="15"/>
    </row>
    <row r="41" spans="2:10" ht="12.75">
      <c r="B41" s="12"/>
      <c r="C41" s="12" t="s">
        <v>2</v>
      </c>
      <c r="D41" s="13" t="s">
        <v>2</v>
      </c>
      <c r="E41" s="13" t="s">
        <v>6</v>
      </c>
      <c r="F41" s="12"/>
      <c r="G41" s="12"/>
      <c r="H41" s="12" t="s">
        <v>2</v>
      </c>
      <c r="I41" s="13" t="s">
        <v>2</v>
      </c>
      <c r="J41" s="13" t="s">
        <v>6</v>
      </c>
    </row>
    <row r="42" spans="1:10" ht="18">
      <c r="A42" s="49" t="s">
        <v>10</v>
      </c>
      <c r="B42" s="12"/>
      <c r="C42" s="12" t="s">
        <v>3</v>
      </c>
      <c r="D42" s="13" t="s">
        <v>5</v>
      </c>
      <c r="E42" s="13" t="s">
        <v>5</v>
      </c>
      <c r="F42" s="12"/>
      <c r="G42" s="12"/>
      <c r="H42" s="12" t="s">
        <v>3</v>
      </c>
      <c r="I42" s="13" t="s">
        <v>5</v>
      </c>
      <c r="J42" s="13" t="s">
        <v>5</v>
      </c>
    </row>
    <row r="43" spans="1:10" ht="12.75">
      <c r="A43" s="34"/>
      <c r="B43" s="12" t="s">
        <v>16</v>
      </c>
      <c r="C43" s="12" t="s">
        <v>4</v>
      </c>
      <c r="D43" s="13"/>
      <c r="E43" s="13"/>
      <c r="F43" s="12"/>
      <c r="G43" s="12" t="s">
        <v>17</v>
      </c>
      <c r="H43" s="12" t="s">
        <v>4</v>
      </c>
      <c r="I43" s="13"/>
      <c r="J43" s="13"/>
    </row>
    <row r="44" spans="1:10" ht="16.5" thickBot="1">
      <c r="A44" s="48" t="s">
        <v>4</v>
      </c>
      <c r="B44" s="13" t="s">
        <v>12</v>
      </c>
      <c r="C44" s="12" t="s">
        <v>8</v>
      </c>
      <c r="D44" s="13" t="s">
        <v>8</v>
      </c>
      <c r="E44" s="13" t="s">
        <v>7</v>
      </c>
      <c r="F44" s="12"/>
      <c r="G44" s="13" t="s">
        <v>12</v>
      </c>
      <c r="H44" s="12" t="s">
        <v>8</v>
      </c>
      <c r="I44" s="13" t="s">
        <v>8</v>
      </c>
      <c r="J44" s="13" t="s">
        <v>7</v>
      </c>
    </row>
    <row r="45" spans="1:10" ht="13.5" thickTop="1">
      <c r="A45" t="s">
        <v>54</v>
      </c>
      <c r="B45" s="42">
        <v>7</v>
      </c>
      <c r="C45" s="6">
        <f>B20/(1-B45/100)</f>
        <v>412.6854838709678</v>
      </c>
      <c r="D45" s="53">
        <f>C45-B20</f>
        <v>28.887983870967787</v>
      </c>
      <c r="E45" s="54">
        <f>D45*B$14+(B20*(F12/100)*2000*F14)*(IF(H18=1,1,0))</f>
        <v>4333.197580645168</v>
      </c>
      <c r="G45" s="42">
        <v>7</v>
      </c>
      <c r="H45" s="6">
        <f>B21/(1-G45/100)</f>
        <v>313.5860215053764</v>
      </c>
      <c r="I45" s="6">
        <f>H45-B21</f>
        <v>21.95102150537639</v>
      </c>
      <c r="J45" s="54">
        <f>I45*B$15+(B21*(F12/100)*2000*F14)*(IF(H18=1,1,0))</f>
        <v>2743.8776881720487</v>
      </c>
    </row>
    <row r="46" spans="1:10" ht="12.75">
      <c r="A46" t="s">
        <v>56</v>
      </c>
      <c r="B46" s="42">
        <v>5</v>
      </c>
      <c r="C46" s="6">
        <f>C45/(1-B46/100)</f>
        <v>434.4057724957556</v>
      </c>
      <c r="D46" s="6">
        <f>C46-C45</f>
        <v>21.720288624787827</v>
      </c>
      <c r="E46" s="54">
        <f>D46*B$14+(C45*(F12/100)*2000*F14)*(IF(H19=1,1,0))</f>
        <v>8262.061128395595</v>
      </c>
      <c r="G46" s="42">
        <v>5</v>
      </c>
      <c r="H46" s="6">
        <f>H45/(1-G46/100)</f>
        <v>330.0905489530278</v>
      </c>
      <c r="I46" s="6">
        <f>H46-H45</f>
        <v>16.504527447651412</v>
      </c>
      <c r="J46" s="54">
        <f>I46*B$15+(H45*(F12/100)*2000*F14)*(IF(H19=1,1,0))</f>
        <v>5865.453234719867</v>
      </c>
    </row>
    <row r="47" spans="1:10" ht="12.75">
      <c r="A47" t="s">
        <v>55</v>
      </c>
      <c r="B47" s="42">
        <v>15</v>
      </c>
      <c r="C47" s="6">
        <f>C46/(1-B47/100)</f>
        <v>511.065614700889</v>
      </c>
      <c r="D47" s="6">
        <f>C47-C46</f>
        <v>76.65984220513337</v>
      </c>
      <c r="E47" s="54">
        <f>D47*B$14+(C46*(F12/100)*2000*F14)*(IF(H20=1,1,0))</f>
        <v>11498.976330770005</v>
      </c>
      <c r="G47" s="42">
        <v>15</v>
      </c>
      <c r="H47" s="6">
        <f>H46/(1-G47/100)</f>
        <v>388.34182229767976</v>
      </c>
      <c r="I47" s="6">
        <f>H47-H46</f>
        <v>58.25127334465196</v>
      </c>
      <c r="J47" s="54">
        <f>I47*B$15+(H46*(F12/100)*2000*F14)*(IF(H20=1,1,0))</f>
        <v>7281.409168081495</v>
      </c>
    </row>
    <row r="48" spans="1:10" ht="12.75">
      <c r="A48" t="s">
        <v>52</v>
      </c>
      <c r="B48" s="42">
        <v>3</v>
      </c>
      <c r="C48" s="6">
        <f>C47/(1-B48/100)</f>
        <v>526.8717677328752</v>
      </c>
      <c r="D48" s="6">
        <f>C48-C47</f>
        <v>15.806153031986241</v>
      </c>
      <c r="E48" s="7">
        <f>D48*B$14</f>
        <v>2370.922954797936</v>
      </c>
      <c r="G48" s="42">
        <v>3</v>
      </c>
      <c r="H48" s="6">
        <f>H47/(1-G48/100)</f>
        <v>400.3523941213193</v>
      </c>
      <c r="I48" s="6">
        <f>H48-H47</f>
        <v>12.010571823639566</v>
      </c>
      <c r="J48" s="7">
        <f>I48*B$15</f>
        <v>1501.3214779549457</v>
      </c>
    </row>
    <row r="49" spans="1:10" ht="12.75">
      <c r="A49" t="s">
        <v>53</v>
      </c>
      <c r="B49" s="42">
        <v>8</v>
      </c>
      <c r="C49" s="6">
        <f>C48/(1-B49/100)</f>
        <v>572.6867040574731</v>
      </c>
      <c r="D49" s="6">
        <f>C49-C48</f>
        <v>45.81493632459785</v>
      </c>
      <c r="E49" s="7">
        <f>D49*B$14</f>
        <v>6872.240448689678</v>
      </c>
      <c r="G49" s="42">
        <v>2</v>
      </c>
      <c r="H49" s="6">
        <f>H48/(1-G49/100)</f>
        <v>408.5228511442034</v>
      </c>
      <c r="I49" s="6">
        <f>H49-H48</f>
        <v>8.17045702288408</v>
      </c>
      <c r="J49" s="7">
        <f>I49*B$15</f>
        <v>1021.3071278605099</v>
      </c>
    </row>
    <row r="50" ht="12.75">
      <c r="L50" s="12" t="s">
        <v>18</v>
      </c>
    </row>
    <row r="51" ht="12.75">
      <c r="L51" s="14" t="s">
        <v>7</v>
      </c>
    </row>
    <row r="52" spans="1:13" ht="12.75">
      <c r="A52" t="s">
        <v>14</v>
      </c>
      <c r="B52" s="16"/>
      <c r="D52" s="6">
        <f>SUM(D45:D49)</f>
        <v>188.88920405747308</v>
      </c>
      <c r="E52" s="3">
        <f>SUM(E45:E49)</f>
        <v>33337.398443298385</v>
      </c>
      <c r="F52" s="35" t="s">
        <v>108</v>
      </c>
      <c r="G52" s="17"/>
      <c r="I52" s="6">
        <f>SUM(I45:I49)</f>
        <v>116.88785114420341</v>
      </c>
      <c r="J52" s="50">
        <f>SUM(J45:J49)</f>
        <v>18413.368696788868</v>
      </c>
      <c r="K52" s="35" t="s">
        <v>108</v>
      </c>
      <c r="L52" s="3">
        <f>E52+J52</f>
        <v>51750.76714008725</v>
      </c>
      <c r="M52" s="35" t="s">
        <v>108</v>
      </c>
    </row>
    <row r="53" spans="1:8" ht="12.75">
      <c r="A53" t="s">
        <v>19</v>
      </c>
      <c r="B53" s="9">
        <f>(D52/C49)*100</f>
        <v>32.98299100000002</v>
      </c>
      <c r="C53" s="46" t="s">
        <v>107</v>
      </c>
      <c r="G53" s="9">
        <f>(I52/H49)*100</f>
        <v>28.612316500000013</v>
      </c>
      <c r="H53" s="46" t="s">
        <v>107</v>
      </c>
    </row>
    <row r="56" spans="1:12" ht="12.75">
      <c r="A56" s="15"/>
      <c r="B56" s="15"/>
      <c r="C56" s="15"/>
      <c r="D56" s="15"/>
      <c r="E56" s="15"/>
      <c r="F56" s="15"/>
      <c r="G56" s="15"/>
      <c r="H56" s="15"/>
      <c r="I56" s="15"/>
      <c r="J56" s="15"/>
      <c r="K56" s="15"/>
      <c r="L56" s="15"/>
    </row>
    <row r="57" ht="18">
      <c r="A57" s="49" t="s">
        <v>35</v>
      </c>
    </row>
    <row r="58" spans="1:10" ht="18">
      <c r="A58" s="49" t="s">
        <v>21</v>
      </c>
      <c r="B58" s="12" t="s">
        <v>20</v>
      </c>
      <c r="D58" s="45" t="s">
        <v>103</v>
      </c>
      <c r="E58" s="45" t="s">
        <v>103</v>
      </c>
      <c r="G58" s="12" t="s">
        <v>20</v>
      </c>
      <c r="I58" s="45" t="s">
        <v>103</v>
      </c>
      <c r="J58" s="45" t="s">
        <v>103</v>
      </c>
    </row>
    <row r="59" spans="2:10" ht="12.75">
      <c r="B59" s="12" t="s">
        <v>82</v>
      </c>
      <c r="D59" s="45" t="s">
        <v>104</v>
      </c>
      <c r="E59" s="45" t="s">
        <v>105</v>
      </c>
      <c r="G59" s="12" t="s">
        <v>82</v>
      </c>
      <c r="I59" s="45" t="s">
        <v>104</v>
      </c>
      <c r="J59" s="45" t="s">
        <v>105</v>
      </c>
    </row>
    <row r="60" spans="2:10" ht="12.75">
      <c r="B60" s="12" t="s">
        <v>83</v>
      </c>
      <c r="D60" s="13" t="s">
        <v>5</v>
      </c>
      <c r="E60" s="13" t="s">
        <v>5</v>
      </c>
      <c r="G60" s="12" t="s">
        <v>17</v>
      </c>
      <c r="I60" s="13" t="s">
        <v>5</v>
      </c>
      <c r="J60" s="13" t="s">
        <v>5</v>
      </c>
    </row>
    <row r="61" spans="2:10" ht="12.75">
      <c r="B61" s="12"/>
      <c r="D61" s="13"/>
      <c r="E61" s="13"/>
      <c r="G61" s="12" t="s">
        <v>5</v>
      </c>
      <c r="I61" s="13"/>
      <c r="J61" s="13"/>
    </row>
    <row r="62" spans="2:13" ht="12.75">
      <c r="B62" s="13" t="s">
        <v>12</v>
      </c>
      <c r="D62" s="13" t="s">
        <v>8</v>
      </c>
      <c r="E62" s="13" t="s">
        <v>7</v>
      </c>
      <c r="G62" s="13" t="s">
        <v>12</v>
      </c>
      <c r="I62" s="13" t="s">
        <v>8</v>
      </c>
      <c r="J62" s="13" t="s">
        <v>7</v>
      </c>
      <c r="L62" s="36" t="s">
        <v>106</v>
      </c>
      <c r="M62" s="12"/>
    </row>
    <row r="63" spans="12:13" ht="12.75">
      <c r="L63" s="12" t="s">
        <v>84</v>
      </c>
      <c r="M63" s="12"/>
    </row>
    <row r="64" spans="1:13" ht="12.75">
      <c r="A64" t="s">
        <v>36</v>
      </c>
      <c r="B64" s="9">
        <f>B53-B36</f>
        <v>10.162302000000018</v>
      </c>
      <c r="C64" s="46" t="s">
        <v>107</v>
      </c>
      <c r="D64" s="6">
        <f>D52-D35</f>
        <v>75.40641607977915</v>
      </c>
      <c r="E64" s="3">
        <f>E52-E35</f>
        <v>15304.945176378424</v>
      </c>
      <c r="F64" s="35" t="s">
        <v>108</v>
      </c>
      <c r="G64" s="9">
        <f>G53-G36</f>
        <v>9.896910000000009</v>
      </c>
      <c r="H64" s="46" t="s">
        <v>107</v>
      </c>
      <c r="I64" s="6">
        <f>I52-I35</f>
        <v>49.740224028032856</v>
      </c>
      <c r="J64" s="50">
        <f>J52-J35</f>
        <v>9252.423133095004</v>
      </c>
      <c r="K64" s="35" t="s">
        <v>108</v>
      </c>
      <c r="L64" s="3">
        <f>E64+J64</f>
        <v>24557.36830947343</v>
      </c>
      <c r="M64" s="35" t="s">
        <v>108</v>
      </c>
    </row>
    <row r="68" spans="1:12" ht="12.75">
      <c r="A68" s="15"/>
      <c r="B68" s="15"/>
      <c r="C68" s="15"/>
      <c r="D68" s="15"/>
      <c r="E68" s="15"/>
      <c r="F68" s="15"/>
      <c r="G68" s="15"/>
      <c r="H68" s="15"/>
      <c r="I68" s="15"/>
      <c r="J68" s="15"/>
      <c r="K68" s="15"/>
      <c r="L68" s="15"/>
    </row>
  </sheetData>
  <sheetProtection sheet="1"/>
  <dataValidations count="1">
    <dataValidation errorStyle="warning" type="list" showInputMessage="1" showErrorMessage="1" promptTitle="Yes or No" prompt="Did Heating Occur at this stage?" error="Select Yes or No" sqref="E18:F20">
      <formula1>$N$18:$N$19</formula1>
    </dataValidation>
  </dataValidations>
  <hyperlinks>
    <hyperlink ref="H11" r:id="rId1" display="bjholmes@wisc.edu"/>
  </hyperlinks>
  <printOptions/>
  <pageMargins left="0.75" right="0.75" top="1" bottom="1" header="0.5" footer="0.5"/>
  <pageSetup horizontalDpi="300" verticalDpi="300" orientation="portrait" r:id="rId2"/>
</worksheet>
</file>

<file path=xl/worksheets/sheet2.xml><?xml version="1.0" encoding="utf-8"?>
<worksheet xmlns="http://schemas.openxmlformats.org/spreadsheetml/2006/main" xmlns:r="http://schemas.openxmlformats.org/officeDocument/2006/relationships">
  <sheetPr>
    <tabColor indexed="10"/>
  </sheetPr>
  <dimension ref="A5:F64"/>
  <sheetViews>
    <sheetView zoomScalePageLayoutView="0" workbookViewId="0" topLeftCell="A5">
      <selection activeCell="A32" sqref="A32"/>
    </sheetView>
  </sheetViews>
  <sheetFormatPr defaultColWidth="9.140625" defaultRowHeight="12.75"/>
  <cols>
    <col min="1" max="1" width="10.00390625" style="0" customWidth="1"/>
    <col min="2" max="2" width="7.8515625" style="0" customWidth="1"/>
    <col min="5" max="5" width="10.28125" style="0" customWidth="1"/>
    <col min="6" max="6" width="7.421875" style="0" customWidth="1"/>
  </cols>
  <sheetData>
    <row r="4" ht="13.5" thickBot="1"/>
    <row r="5" ht="17.25" thickBot="1" thickTop="1">
      <c r="A5" s="30" t="s">
        <v>46</v>
      </c>
    </row>
    <row r="6" ht="15.75" thickTop="1">
      <c r="A6" s="29" t="s">
        <v>45</v>
      </c>
    </row>
    <row r="8" spans="1:6" ht="12.75">
      <c r="A8" t="s">
        <v>47</v>
      </c>
      <c r="F8" s="2"/>
    </row>
    <row r="9" spans="1:2" ht="12.75">
      <c r="A9" s="35" t="s">
        <v>114</v>
      </c>
      <c r="B9" s="1"/>
    </row>
    <row r="10" ht="15.75">
      <c r="A10" s="8" t="s">
        <v>61</v>
      </c>
    </row>
    <row r="11" ht="12.75">
      <c r="A11" t="s">
        <v>48</v>
      </c>
    </row>
    <row r="12" ht="12.75">
      <c r="A12" t="s">
        <v>49</v>
      </c>
    </row>
    <row r="14" ht="12.75">
      <c r="A14" s="35" t="s">
        <v>109</v>
      </c>
    </row>
    <row r="15" ht="12.75">
      <c r="A15" s="35" t="s">
        <v>115</v>
      </c>
    </row>
    <row r="17" ht="12.75">
      <c r="A17" s="35" t="s">
        <v>111</v>
      </c>
    </row>
    <row r="18" ht="12.75">
      <c r="A18" s="35" t="s">
        <v>110</v>
      </c>
    </row>
    <row r="19" ht="12.75">
      <c r="A19" s="35" t="s">
        <v>112</v>
      </c>
    </row>
    <row r="21" ht="12.75">
      <c r="A21" t="s">
        <v>57</v>
      </c>
    </row>
    <row r="22" ht="12.75">
      <c r="A22" t="s">
        <v>58</v>
      </c>
    </row>
    <row r="23" ht="12.75">
      <c r="A23" s="35" t="s">
        <v>113</v>
      </c>
    </row>
    <row r="25" ht="12.75">
      <c r="A25" t="s">
        <v>59</v>
      </c>
    </row>
    <row r="26" ht="12.75">
      <c r="A26" t="s">
        <v>60</v>
      </c>
    </row>
    <row r="28" ht="15.75">
      <c r="A28" s="8" t="s">
        <v>62</v>
      </c>
    </row>
    <row r="29" ht="12.75">
      <c r="A29" t="s">
        <v>63</v>
      </c>
    </row>
    <row r="30" ht="12.75">
      <c r="A30" t="s">
        <v>64</v>
      </c>
    </row>
    <row r="31" ht="12.75">
      <c r="A31" s="35" t="s">
        <v>116</v>
      </c>
    </row>
    <row r="33" ht="15.75">
      <c r="F33" s="8" t="s">
        <v>9</v>
      </c>
    </row>
    <row r="34" ht="12.75">
      <c r="A34" t="s">
        <v>72</v>
      </c>
    </row>
    <row r="35" ht="12.75">
      <c r="A35" t="s">
        <v>65</v>
      </c>
    </row>
    <row r="36" ht="12.75">
      <c r="A36" t="s">
        <v>67</v>
      </c>
    </row>
    <row r="37" ht="12.75">
      <c r="A37" t="s">
        <v>66</v>
      </c>
    </row>
    <row r="38" ht="12.75">
      <c r="A38" t="s">
        <v>69</v>
      </c>
    </row>
    <row r="39" ht="12.75">
      <c r="A39" t="s">
        <v>68</v>
      </c>
    </row>
    <row r="40" ht="12.75">
      <c r="A40" t="s">
        <v>70</v>
      </c>
    </row>
    <row r="41" ht="12.75">
      <c r="A41" t="s">
        <v>81</v>
      </c>
    </row>
    <row r="42" ht="12.75">
      <c r="A42" t="s">
        <v>71</v>
      </c>
    </row>
    <row r="45" ht="15.75">
      <c r="F45" s="8" t="s">
        <v>10</v>
      </c>
    </row>
    <row r="46" ht="12.75">
      <c r="A46" t="s">
        <v>73</v>
      </c>
    </row>
    <row r="47" ht="12.75">
      <c r="A47" t="s">
        <v>74</v>
      </c>
    </row>
    <row r="48" ht="12.75">
      <c r="A48" t="s">
        <v>75</v>
      </c>
    </row>
    <row r="49" ht="12.75">
      <c r="A49" t="s">
        <v>76</v>
      </c>
    </row>
    <row r="50" ht="12.75">
      <c r="A50" t="s">
        <v>77</v>
      </c>
    </row>
    <row r="51" ht="12.75">
      <c r="A51" t="s">
        <v>78</v>
      </c>
    </row>
    <row r="52" ht="12.75">
      <c r="A52" t="s">
        <v>79</v>
      </c>
    </row>
    <row r="53" ht="12.75">
      <c r="A53" t="s">
        <v>80</v>
      </c>
    </row>
    <row r="54" ht="12.75">
      <c r="A54" t="s">
        <v>71</v>
      </c>
    </row>
    <row r="56" ht="15.75">
      <c r="D56" s="8" t="s">
        <v>85</v>
      </c>
    </row>
    <row r="57" ht="12.75">
      <c r="A57" t="s">
        <v>88</v>
      </c>
    </row>
    <row r="58" ht="12.75">
      <c r="A58" t="s">
        <v>86</v>
      </c>
    </row>
    <row r="59" ht="12.75">
      <c r="A59" t="s">
        <v>87</v>
      </c>
    </row>
    <row r="61" ht="12.75">
      <c r="A61" t="s">
        <v>90</v>
      </c>
    </row>
    <row r="62" ht="12.75">
      <c r="A62" t="s">
        <v>89</v>
      </c>
    </row>
    <row r="63" ht="12.75">
      <c r="A63" t="s">
        <v>91</v>
      </c>
    </row>
    <row r="64" ht="12.75">
      <c r="A64" t="s">
        <v>92</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Biological Systems Engineeirng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J. Holmes</dc:creator>
  <cp:keywords/>
  <dc:description/>
  <cp:lastModifiedBy>Brian</cp:lastModifiedBy>
  <dcterms:created xsi:type="dcterms:W3CDTF">2008-03-24T18:51:40Z</dcterms:created>
  <dcterms:modified xsi:type="dcterms:W3CDTF">2011-07-08T19:40:54Z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