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Brian\Desktop\Documents\Brian\My Documents\BriansDesktop\Holmes Spreadsheets Office DeskTop\Silage Storage\French Translations\"/>
    </mc:Choice>
  </mc:AlternateContent>
  <xr:revisionPtr revIDLastSave="0" documentId="13_ncr:1_{1CE5EE0D-9857-4D25-BEC7-3B79C3E6C8A0}" xr6:coauthVersionLast="44" xr6:coauthVersionMax="44" xr10:uidLastSave="{00000000-0000-0000-0000-000000000000}"/>
  <bookViews>
    <workbookView xWindow="0" yWindow="0" windowWidth="20460" windowHeight="10920" tabRatio="633" xr2:uid="{00000000-000D-0000-FFFF-FFFF00000000}"/>
  </bookViews>
  <sheets>
    <sheet name="English " sheetId="1" r:id="rId1"/>
    <sheet name="English-Metric" sheetId="2" r:id="rId2"/>
    <sheet name="French" sheetId="9" r:id="rId3"/>
    <sheet name="Portuguese" sheetId="3" r:id="rId4"/>
    <sheet name="Russian" sheetId="4" r:id="rId5"/>
    <sheet name="Español de Mexico" sheetId="5" r:id="rId6"/>
    <sheet name="Espanol Castellano" sheetId="7" r:id="rId7"/>
    <sheet name="Hungarian" sheetId="6" r:id="rId8"/>
  </sheets>
  <definedNames>
    <definedName name="__123Graph_A" localSheetId="0" hidden="1">'English '!$B$48:$B$59</definedName>
    <definedName name="__123Graph_AGraph1" localSheetId="0" hidden="1">'English '!$B$48:$B$59</definedName>
    <definedName name="__123Graph_B" localSheetId="0" hidden="1">'English '!$D$48:$D$59</definedName>
    <definedName name="__123Graph_BGraph1" localSheetId="0" hidden="1">'English '!$D$48:$D$59</definedName>
    <definedName name="__123Graph_C" localSheetId="0" hidden="1">'English '!$E$48:$E$59</definedName>
    <definedName name="__123Graph_CGraph1" localSheetId="0" hidden="1">'English '!$E$48:$E$59</definedName>
    <definedName name="__123Graph_D" localSheetId="0" hidden="1">'English '!$G$48:$G$59</definedName>
    <definedName name="__123Graph_DGraph1" localSheetId="0" hidden="1">'English '!$G$48:$G$59</definedName>
    <definedName name="__123Graph_X" localSheetId="0" hidden="1">'English '!$A$48:$A$59</definedName>
    <definedName name="__123Graph_XGraph1" localSheetId="0" hidden="1">'English '!$A$48:$A$59</definedName>
    <definedName name="_Order1" localSheetId="0" hidden="1">255</definedName>
    <definedName name="_Order2" localSheetId="0" hidden="1">255</definedName>
    <definedName name="_xlnm.Print_Area" localSheetId="0">'English '!$A$1:$T$65</definedName>
    <definedName name="_xlnm.Print_Area" localSheetId="3">Portuguese!$A$1:$T$62</definedName>
    <definedName name="Print_Area_MI">'English '!$A$1:$T$65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S14" i="9" l="1"/>
  <c r="S15" i="9"/>
  <c r="S16" i="9"/>
  <c r="S17" i="9"/>
  <c r="S19" i="9"/>
  <c r="S21" i="9"/>
  <c r="S23" i="9"/>
  <c r="S26" i="9"/>
  <c r="S27" i="9"/>
  <c r="S28" i="9"/>
  <c r="S30" i="9"/>
  <c r="S35" i="9"/>
  <c r="S36" i="9"/>
  <c r="S37" i="9"/>
  <c r="S38" i="9"/>
  <c r="S39" i="9"/>
  <c r="E19" i="9"/>
  <c r="B61" i="9" s="1"/>
  <c r="T14" i="9"/>
  <c r="T15" i="9"/>
  <c r="T16" i="9"/>
  <c r="T17" i="9"/>
  <c r="T19" i="9"/>
  <c r="T21" i="9"/>
  <c r="T23" i="9"/>
  <c r="T26" i="9"/>
  <c r="T27" i="9"/>
  <c r="T28" i="9"/>
  <c r="T30" i="9"/>
  <c r="T35" i="9"/>
  <c r="T36" i="9"/>
  <c r="T37" i="9"/>
  <c r="T38" i="9"/>
  <c r="T39" i="9"/>
  <c r="R14" i="9"/>
  <c r="R15" i="9"/>
  <c r="R16" i="9"/>
  <c r="R17" i="9"/>
  <c r="R19" i="9"/>
  <c r="R21" i="9"/>
  <c r="R23" i="9"/>
  <c r="R26" i="9"/>
  <c r="R27" i="9"/>
  <c r="R28" i="9"/>
  <c r="R30" i="9"/>
  <c r="R35" i="9"/>
  <c r="R36" i="9"/>
  <c r="R37" i="9"/>
  <c r="R38" i="9"/>
  <c r="R39" i="9"/>
  <c r="Q14" i="9"/>
  <c r="Q15" i="9"/>
  <c r="Q44" i="9" s="1"/>
  <c r="Q16" i="9"/>
  <c r="Q17" i="9"/>
  <c r="Q19" i="9"/>
  <c r="Q21" i="9"/>
  <c r="Q23" i="9"/>
  <c r="Q26" i="9"/>
  <c r="Q27" i="9"/>
  <c r="Q28" i="9"/>
  <c r="Q30" i="9"/>
  <c r="Q35" i="9"/>
  <c r="Q36" i="9"/>
  <c r="Q37" i="9"/>
  <c r="Q38" i="9"/>
  <c r="Q39" i="9"/>
  <c r="K41" i="9"/>
  <c r="K13" i="9"/>
  <c r="K32" i="9" s="1"/>
  <c r="K19" i="9"/>
  <c r="K21" i="9"/>
  <c r="K23" i="9"/>
  <c r="K25" i="9"/>
  <c r="K30" i="9"/>
  <c r="H26" i="9"/>
  <c r="H25" i="9"/>
  <c r="H27" i="9" s="1"/>
  <c r="H28" i="9" s="1"/>
  <c r="H29" i="9"/>
  <c r="H30" i="9" s="1"/>
  <c r="H24" i="9"/>
  <c r="G21" i="9"/>
  <c r="A21" i="9"/>
  <c r="F20" i="9"/>
  <c r="F19" i="9"/>
  <c r="A21" i="2"/>
  <c r="E19" i="2"/>
  <c r="E19" i="7"/>
  <c r="B57" i="7" s="1"/>
  <c r="H26" i="7"/>
  <c r="H25" i="7"/>
  <c r="H24" i="7"/>
  <c r="B52" i="7"/>
  <c r="T14" i="7"/>
  <c r="T15" i="7"/>
  <c r="T16" i="7"/>
  <c r="T17" i="7"/>
  <c r="T19" i="7"/>
  <c r="T21" i="7"/>
  <c r="T23" i="7"/>
  <c r="T26" i="7"/>
  <c r="T27" i="7"/>
  <c r="T28" i="7"/>
  <c r="T30" i="7"/>
  <c r="T35" i="7"/>
  <c r="T36" i="7"/>
  <c r="T37" i="7"/>
  <c r="T38" i="7"/>
  <c r="T39" i="7"/>
  <c r="S14" i="7"/>
  <c r="S15" i="7"/>
  <c r="S16" i="7"/>
  <c r="S17" i="7"/>
  <c r="S19" i="7"/>
  <c r="S21" i="7"/>
  <c r="S23" i="7"/>
  <c r="S26" i="7"/>
  <c r="S27" i="7"/>
  <c r="S28" i="7"/>
  <c r="S30" i="7"/>
  <c r="S35" i="7"/>
  <c r="S36" i="7"/>
  <c r="S37" i="7"/>
  <c r="S38" i="7"/>
  <c r="S39" i="7"/>
  <c r="R14" i="7"/>
  <c r="R15" i="7"/>
  <c r="R16" i="7"/>
  <c r="R17" i="7"/>
  <c r="R19" i="7"/>
  <c r="R21" i="7"/>
  <c r="R23" i="7"/>
  <c r="R26" i="7"/>
  <c r="R27" i="7"/>
  <c r="R28" i="7"/>
  <c r="R30" i="7"/>
  <c r="R35" i="7"/>
  <c r="R36" i="7"/>
  <c r="R37" i="7"/>
  <c r="R38" i="7"/>
  <c r="R39" i="7"/>
  <c r="Q14" i="7"/>
  <c r="Q15" i="7"/>
  <c r="Q16" i="7"/>
  <c r="Q44" i="7" s="1"/>
  <c r="Q17" i="7"/>
  <c r="Q19" i="7"/>
  <c r="Q21" i="7"/>
  <c r="Q23" i="7"/>
  <c r="Q26" i="7"/>
  <c r="Q27" i="7"/>
  <c r="Q28" i="7"/>
  <c r="Q30" i="7"/>
  <c r="Q35" i="7"/>
  <c r="Q36" i="7"/>
  <c r="Q37" i="7"/>
  <c r="Q38" i="7"/>
  <c r="Q39" i="7"/>
  <c r="K41" i="7"/>
  <c r="K13" i="7"/>
  <c r="K32" i="7" s="1"/>
  <c r="K19" i="7"/>
  <c r="K21" i="7"/>
  <c r="K23" i="7"/>
  <c r="K25" i="7"/>
  <c r="K30" i="7"/>
  <c r="G21" i="7"/>
  <c r="A21" i="7"/>
  <c r="F20" i="7"/>
  <c r="F19" i="7"/>
  <c r="A21" i="6"/>
  <c r="F19" i="6"/>
  <c r="F20" i="6"/>
  <c r="E19" i="3"/>
  <c r="B61" i="3" s="1"/>
  <c r="C61" i="3" s="1"/>
  <c r="B60" i="3"/>
  <c r="H26" i="3"/>
  <c r="H29" i="3" s="1"/>
  <c r="H30" i="3" s="1"/>
  <c r="H25" i="3"/>
  <c r="H27" i="3" s="1"/>
  <c r="H28" i="3" s="1"/>
  <c r="G32" i="3" s="1"/>
  <c r="H24" i="3"/>
  <c r="I53" i="3"/>
  <c r="B56" i="3"/>
  <c r="B52" i="3"/>
  <c r="B48" i="3"/>
  <c r="T14" i="3"/>
  <c r="T15" i="3"/>
  <c r="T44" i="3" s="1"/>
  <c r="T16" i="3"/>
  <c r="T17" i="3"/>
  <c r="T19" i="3"/>
  <c r="T21" i="3"/>
  <c r="T23" i="3"/>
  <c r="T26" i="3"/>
  <c r="T27" i="3"/>
  <c r="T28" i="3"/>
  <c r="T30" i="3"/>
  <c r="T35" i="3"/>
  <c r="T36" i="3"/>
  <c r="T37" i="3"/>
  <c r="T38" i="3"/>
  <c r="T39" i="3"/>
  <c r="S14" i="3"/>
  <c r="S15" i="3"/>
  <c r="S16" i="3"/>
  <c r="S17" i="3"/>
  <c r="S19" i="3"/>
  <c r="S21" i="3"/>
  <c r="S23" i="3"/>
  <c r="S26" i="3"/>
  <c r="S27" i="3"/>
  <c r="S28" i="3"/>
  <c r="S30" i="3"/>
  <c r="S35" i="3"/>
  <c r="S36" i="3"/>
  <c r="S37" i="3"/>
  <c r="S38" i="3"/>
  <c r="S39" i="3"/>
  <c r="R14" i="3"/>
  <c r="R15" i="3"/>
  <c r="R16" i="3"/>
  <c r="R17" i="3"/>
  <c r="R19" i="3"/>
  <c r="R21" i="3"/>
  <c r="R23" i="3"/>
  <c r="R26" i="3"/>
  <c r="R27" i="3"/>
  <c r="R28" i="3"/>
  <c r="R30" i="3"/>
  <c r="R35" i="3"/>
  <c r="R36" i="3"/>
  <c r="R37" i="3"/>
  <c r="R38" i="3"/>
  <c r="R39" i="3"/>
  <c r="Q14" i="3"/>
  <c r="Q15" i="3"/>
  <c r="Q16" i="3"/>
  <c r="Q17" i="3"/>
  <c r="Q19" i="3"/>
  <c r="Q21" i="3"/>
  <c r="Q23" i="3"/>
  <c r="Q26" i="3"/>
  <c r="Q27" i="3"/>
  <c r="Q28" i="3"/>
  <c r="Q30" i="3"/>
  <c r="Q35" i="3"/>
  <c r="Q36" i="3"/>
  <c r="Q37" i="3"/>
  <c r="Q38" i="3"/>
  <c r="Q39" i="3"/>
  <c r="K41" i="3"/>
  <c r="K13" i="3"/>
  <c r="K19" i="3"/>
  <c r="K21" i="3"/>
  <c r="K23" i="3"/>
  <c r="K25" i="3"/>
  <c r="K30" i="3"/>
  <c r="G21" i="3"/>
  <c r="A21" i="3"/>
  <c r="F20" i="3"/>
  <c r="F19" i="3"/>
  <c r="E19" i="4"/>
  <c r="B61" i="4" s="1"/>
  <c r="H26" i="4"/>
  <c r="H25" i="4"/>
  <c r="H24" i="4"/>
  <c r="I53" i="4"/>
  <c r="T14" i="4"/>
  <c r="T15" i="4"/>
  <c r="T16" i="4"/>
  <c r="T17" i="4"/>
  <c r="T19" i="4"/>
  <c r="T21" i="4"/>
  <c r="T23" i="4"/>
  <c r="T26" i="4"/>
  <c r="T27" i="4"/>
  <c r="T28" i="4"/>
  <c r="T30" i="4"/>
  <c r="T35" i="4"/>
  <c r="T36" i="4"/>
  <c r="T37" i="4"/>
  <c r="T38" i="4"/>
  <c r="T39" i="4"/>
  <c r="S14" i="4"/>
  <c r="S15" i="4"/>
  <c r="S16" i="4"/>
  <c r="S17" i="4"/>
  <c r="S19" i="4"/>
  <c r="S21" i="4"/>
  <c r="S23" i="4"/>
  <c r="S26" i="4"/>
  <c r="S27" i="4"/>
  <c r="S28" i="4"/>
  <c r="S30" i="4"/>
  <c r="S35" i="4"/>
  <c r="S36" i="4"/>
  <c r="S37" i="4"/>
  <c r="S38" i="4"/>
  <c r="S39" i="4"/>
  <c r="R14" i="4"/>
  <c r="R15" i="4"/>
  <c r="R16" i="4"/>
  <c r="R17" i="4"/>
  <c r="R19" i="4"/>
  <c r="R21" i="4"/>
  <c r="R23" i="4"/>
  <c r="R26" i="4"/>
  <c r="R27" i="4"/>
  <c r="R28" i="4"/>
  <c r="R30" i="4"/>
  <c r="R35" i="4"/>
  <c r="R36" i="4"/>
  <c r="R37" i="4"/>
  <c r="R38" i="4"/>
  <c r="R39" i="4"/>
  <c r="Q14" i="4"/>
  <c r="Q15" i="4"/>
  <c r="Q16" i="4"/>
  <c r="Q17" i="4"/>
  <c r="Q19" i="4"/>
  <c r="Q21" i="4"/>
  <c r="Q23" i="4"/>
  <c r="Q26" i="4"/>
  <c r="Q27" i="4"/>
  <c r="Q28" i="4"/>
  <c r="Q30" i="4"/>
  <c r="Q35" i="4"/>
  <c r="Q36" i="4"/>
  <c r="Q37" i="4"/>
  <c r="Q38" i="4"/>
  <c r="Q39" i="4"/>
  <c r="Q44" i="4"/>
  <c r="K41" i="4"/>
  <c r="K13" i="4"/>
  <c r="K19" i="4"/>
  <c r="K21" i="4"/>
  <c r="K23" i="4"/>
  <c r="K25" i="4"/>
  <c r="K30" i="4"/>
  <c r="K32" i="4"/>
  <c r="G21" i="4"/>
  <c r="A21" i="4"/>
  <c r="F20" i="4"/>
  <c r="F19" i="4"/>
  <c r="E19" i="5"/>
  <c r="B61" i="5"/>
  <c r="C61" i="5" s="1"/>
  <c r="F61" i="5"/>
  <c r="D61" i="5"/>
  <c r="B60" i="5"/>
  <c r="H26" i="5"/>
  <c r="H29" i="5" s="1"/>
  <c r="H30" i="5" s="1"/>
  <c r="H25" i="5"/>
  <c r="H24" i="5"/>
  <c r="I53" i="5"/>
  <c r="C60" i="5"/>
  <c r="B59" i="5"/>
  <c r="C59" i="5"/>
  <c r="B58" i="5"/>
  <c r="B57" i="5"/>
  <c r="B56" i="5"/>
  <c r="C56" i="5"/>
  <c r="B55" i="5"/>
  <c r="C55" i="5"/>
  <c r="B54" i="5"/>
  <c r="B53" i="5"/>
  <c r="B52" i="5"/>
  <c r="C52" i="5"/>
  <c r="B51" i="5"/>
  <c r="C51" i="5"/>
  <c r="B50" i="5"/>
  <c r="B49" i="5"/>
  <c r="B48" i="5"/>
  <c r="C48" i="5"/>
  <c r="T14" i="5"/>
  <c r="T15" i="5"/>
  <c r="T16" i="5"/>
  <c r="T17" i="5"/>
  <c r="T19" i="5"/>
  <c r="T21" i="5"/>
  <c r="T23" i="5"/>
  <c r="T26" i="5"/>
  <c r="T27" i="5"/>
  <c r="T28" i="5"/>
  <c r="T30" i="5"/>
  <c r="T35" i="5"/>
  <c r="T36" i="5"/>
  <c r="T37" i="5"/>
  <c r="T38" i="5"/>
  <c r="T39" i="5"/>
  <c r="S14" i="5"/>
  <c r="S15" i="5"/>
  <c r="S16" i="5"/>
  <c r="S17" i="5"/>
  <c r="S19" i="5"/>
  <c r="S21" i="5"/>
  <c r="S23" i="5"/>
  <c r="S26" i="5"/>
  <c r="S27" i="5"/>
  <c r="S28" i="5"/>
  <c r="S30" i="5"/>
  <c r="S35" i="5"/>
  <c r="S36" i="5"/>
  <c r="S37" i="5"/>
  <c r="S38" i="5"/>
  <c r="S39" i="5"/>
  <c r="R14" i="5"/>
  <c r="R15" i="5"/>
  <c r="R16" i="5"/>
  <c r="R17" i="5"/>
  <c r="R19" i="5"/>
  <c r="R21" i="5"/>
  <c r="R23" i="5"/>
  <c r="R26" i="5"/>
  <c r="R27" i="5"/>
  <c r="R28" i="5"/>
  <c r="R30" i="5"/>
  <c r="R35" i="5"/>
  <c r="R36" i="5"/>
  <c r="R37" i="5"/>
  <c r="R38" i="5"/>
  <c r="R39" i="5"/>
  <c r="Q14" i="5"/>
  <c r="Q15" i="5"/>
  <c r="Q16" i="5"/>
  <c r="Q17" i="5"/>
  <c r="Q19" i="5"/>
  <c r="Q21" i="5"/>
  <c r="Q23" i="5"/>
  <c r="Q26" i="5"/>
  <c r="Q27" i="5"/>
  <c r="Q28" i="5"/>
  <c r="Q30" i="5"/>
  <c r="Q35" i="5"/>
  <c r="Q36" i="5"/>
  <c r="Q37" i="5"/>
  <c r="Q38" i="5"/>
  <c r="Q39" i="5"/>
  <c r="K41" i="5"/>
  <c r="K13" i="5"/>
  <c r="K19" i="5"/>
  <c r="K21" i="5"/>
  <c r="K23" i="5"/>
  <c r="K25" i="5"/>
  <c r="K30" i="5"/>
  <c r="G21" i="5"/>
  <c r="A21" i="5"/>
  <c r="F20" i="5"/>
  <c r="F19" i="5"/>
  <c r="E19" i="6"/>
  <c r="B59" i="6" s="1"/>
  <c r="T14" i="6"/>
  <c r="H26" i="6"/>
  <c r="H25" i="6"/>
  <c r="H27" i="6"/>
  <c r="H28" i="6" s="1"/>
  <c r="H29" i="6"/>
  <c r="H30" i="6" s="1"/>
  <c r="H24" i="6"/>
  <c r="G21" i="6"/>
  <c r="T15" i="6"/>
  <c r="T16" i="6"/>
  <c r="T17" i="6"/>
  <c r="T19" i="6"/>
  <c r="T21" i="6"/>
  <c r="T23" i="6"/>
  <c r="T26" i="6"/>
  <c r="T27" i="6"/>
  <c r="T28" i="6"/>
  <c r="T30" i="6"/>
  <c r="T35" i="6"/>
  <c r="T36" i="6"/>
  <c r="T37" i="6"/>
  <c r="T38" i="6"/>
  <c r="T39" i="6"/>
  <c r="S14" i="6"/>
  <c r="S15" i="6"/>
  <c r="S16" i="6"/>
  <c r="S17" i="6"/>
  <c r="S19" i="6"/>
  <c r="S21" i="6"/>
  <c r="S23" i="6"/>
  <c r="S26" i="6"/>
  <c r="S27" i="6"/>
  <c r="S28" i="6"/>
  <c r="S30" i="6"/>
  <c r="S35" i="6"/>
  <c r="S36" i="6"/>
  <c r="S37" i="6"/>
  <c r="S38" i="6"/>
  <c r="S39" i="6"/>
  <c r="R14" i="6"/>
  <c r="R15" i="6"/>
  <c r="R16" i="6"/>
  <c r="R17" i="6"/>
  <c r="R19" i="6"/>
  <c r="R21" i="6"/>
  <c r="R23" i="6"/>
  <c r="R26" i="6"/>
  <c r="R27" i="6"/>
  <c r="R28" i="6"/>
  <c r="R30" i="6"/>
  <c r="R35" i="6"/>
  <c r="R36" i="6"/>
  <c r="R37" i="6"/>
  <c r="R38" i="6"/>
  <c r="R39" i="6"/>
  <c r="Q14" i="6"/>
  <c r="Q15" i="6"/>
  <c r="Q16" i="6"/>
  <c r="Q17" i="6"/>
  <c r="Q19" i="6"/>
  <c r="Q21" i="6"/>
  <c r="Q23" i="6"/>
  <c r="Q26" i="6"/>
  <c r="Q27" i="6"/>
  <c r="Q28" i="6"/>
  <c r="Q30" i="6"/>
  <c r="Q35" i="6"/>
  <c r="Q36" i="6"/>
  <c r="Q37" i="6"/>
  <c r="Q38" i="6"/>
  <c r="Q39" i="6"/>
  <c r="K41" i="6"/>
  <c r="K13" i="6"/>
  <c r="K19" i="6"/>
  <c r="K21" i="6"/>
  <c r="K23" i="6"/>
  <c r="K25" i="6"/>
  <c r="K30" i="6"/>
  <c r="I53" i="2"/>
  <c r="E19" i="1"/>
  <c r="B54" i="1" s="1"/>
  <c r="C54" i="1" s="1"/>
  <c r="B61" i="2"/>
  <c r="C61" i="2" s="1"/>
  <c r="D61" i="2"/>
  <c r="B60" i="2"/>
  <c r="H24" i="2"/>
  <c r="H26" i="2"/>
  <c r="H29" i="2" s="1"/>
  <c r="H30" i="2" s="1"/>
  <c r="H25" i="2"/>
  <c r="H27" i="2" s="1"/>
  <c r="H28" i="2" s="1"/>
  <c r="G32" i="2" s="1"/>
  <c r="B59" i="2"/>
  <c r="C59" i="2"/>
  <c r="B58" i="2"/>
  <c r="C58" i="2"/>
  <c r="B57" i="2"/>
  <c r="B56" i="2"/>
  <c r="B55" i="2"/>
  <c r="C55" i="2"/>
  <c r="B54" i="2"/>
  <c r="C54" i="2"/>
  <c r="B53" i="2"/>
  <c r="B52" i="2"/>
  <c r="C52" i="2" s="1"/>
  <c r="B51" i="2"/>
  <c r="C51" i="2" s="1"/>
  <c r="B50" i="2"/>
  <c r="C50" i="2" s="1"/>
  <c r="B49" i="2"/>
  <c r="B48" i="2"/>
  <c r="C48" i="2"/>
  <c r="H26" i="1"/>
  <c r="H25" i="1"/>
  <c r="H27" i="1" s="1"/>
  <c r="H28" i="1" s="1"/>
  <c r="H29" i="1"/>
  <c r="H30" i="1"/>
  <c r="H24" i="1"/>
  <c r="B59" i="1"/>
  <c r="C59" i="1" s="1"/>
  <c r="B52" i="1"/>
  <c r="B48" i="1"/>
  <c r="C48" i="1" s="1"/>
  <c r="A21" i="1"/>
  <c r="G21" i="2"/>
  <c r="F20" i="2"/>
  <c r="F19" i="2"/>
  <c r="T14" i="2"/>
  <c r="T15" i="2"/>
  <c r="T16" i="2"/>
  <c r="T17" i="2"/>
  <c r="T19" i="2"/>
  <c r="T21" i="2"/>
  <c r="T23" i="2"/>
  <c r="T26" i="2"/>
  <c r="T27" i="2"/>
  <c r="T28" i="2"/>
  <c r="T30" i="2"/>
  <c r="T35" i="2"/>
  <c r="T36" i="2"/>
  <c r="T37" i="2"/>
  <c r="T38" i="2"/>
  <c r="T39" i="2"/>
  <c r="G21" i="1"/>
  <c r="F20" i="1"/>
  <c r="F19" i="1"/>
  <c r="Q14" i="1"/>
  <c r="Q15" i="1"/>
  <c r="Q16" i="1"/>
  <c r="Q17" i="1"/>
  <c r="Q19" i="1"/>
  <c r="Q21" i="1"/>
  <c r="Q23" i="1"/>
  <c r="Q26" i="1"/>
  <c r="Q27" i="1"/>
  <c r="Q28" i="1"/>
  <c r="Q30" i="1"/>
  <c r="Q35" i="1"/>
  <c r="Q36" i="1"/>
  <c r="Q37" i="1"/>
  <c r="Q38" i="1"/>
  <c r="Q39" i="1"/>
  <c r="S14" i="2"/>
  <c r="S15" i="2"/>
  <c r="S16" i="2"/>
  <c r="S17" i="2"/>
  <c r="S19" i="2"/>
  <c r="S21" i="2"/>
  <c r="S23" i="2"/>
  <c r="S26" i="2"/>
  <c r="S27" i="2"/>
  <c r="S28" i="2"/>
  <c r="S30" i="2"/>
  <c r="S35" i="2"/>
  <c r="S36" i="2"/>
  <c r="S37" i="2"/>
  <c r="S38" i="2"/>
  <c r="S39" i="2"/>
  <c r="S44" i="2"/>
  <c r="R14" i="2"/>
  <c r="R15" i="2"/>
  <c r="R16" i="2"/>
  <c r="R17" i="2"/>
  <c r="R19" i="2"/>
  <c r="R21" i="2"/>
  <c r="R23" i="2"/>
  <c r="R26" i="2"/>
  <c r="R27" i="2"/>
  <c r="R28" i="2"/>
  <c r="R30" i="2"/>
  <c r="R35" i="2"/>
  <c r="R36" i="2"/>
  <c r="R37" i="2"/>
  <c r="R38" i="2"/>
  <c r="R39" i="2"/>
  <c r="Q14" i="2"/>
  <c r="Q15" i="2"/>
  <c r="Q16" i="2"/>
  <c r="Q17" i="2"/>
  <c r="Q19" i="2"/>
  <c r="Q21" i="2"/>
  <c r="Q23" i="2"/>
  <c r="Q26" i="2"/>
  <c r="Q27" i="2"/>
  <c r="Q28" i="2"/>
  <c r="Q30" i="2"/>
  <c r="Q35" i="2"/>
  <c r="Q36" i="2"/>
  <c r="Q37" i="2"/>
  <c r="Q38" i="2"/>
  <c r="Q39" i="2"/>
  <c r="K41" i="2"/>
  <c r="K13" i="2"/>
  <c r="K19" i="2"/>
  <c r="K21" i="2"/>
  <c r="K23" i="2"/>
  <c r="K25" i="2"/>
  <c r="K30" i="2"/>
  <c r="K13" i="1"/>
  <c r="K32" i="1" s="1"/>
  <c r="R14" i="1"/>
  <c r="S14" i="1"/>
  <c r="T14" i="1"/>
  <c r="R15" i="1"/>
  <c r="S15" i="1"/>
  <c r="T15" i="1"/>
  <c r="R16" i="1"/>
  <c r="S16" i="1"/>
  <c r="T16" i="1"/>
  <c r="R17" i="1"/>
  <c r="S17" i="1"/>
  <c r="T17" i="1"/>
  <c r="K19" i="1"/>
  <c r="R19" i="1"/>
  <c r="S19" i="1"/>
  <c r="T19" i="1"/>
  <c r="K21" i="1"/>
  <c r="R21" i="1"/>
  <c r="S21" i="1"/>
  <c r="T21" i="1"/>
  <c r="K23" i="1"/>
  <c r="R23" i="1"/>
  <c r="S23" i="1"/>
  <c r="T23" i="1"/>
  <c r="K25" i="1"/>
  <c r="R26" i="1"/>
  <c r="S26" i="1"/>
  <c r="T26" i="1"/>
  <c r="R27" i="1"/>
  <c r="S27" i="1"/>
  <c r="T27" i="1"/>
  <c r="R28" i="1"/>
  <c r="S28" i="1"/>
  <c r="T28" i="1"/>
  <c r="K30" i="1"/>
  <c r="R30" i="1"/>
  <c r="S30" i="1"/>
  <c r="T30" i="1"/>
  <c r="R35" i="1"/>
  <c r="S35" i="1"/>
  <c r="T35" i="1"/>
  <c r="R36" i="1"/>
  <c r="S36" i="1"/>
  <c r="T36" i="1"/>
  <c r="R37" i="1"/>
  <c r="S37" i="1"/>
  <c r="T37" i="1"/>
  <c r="R38" i="1"/>
  <c r="S38" i="1"/>
  <c r="T38" i="1"/>
  <c r="R39" i="1"/>
  <c r="S39" i="1"/>
  <c r="T39" i="1"/>
  <c r="K41" i="1"/>
  <c r="B48" i="9" l="1"/>
  <c r="C48" i="9" s="1"/>
  <c r="B58" i="6"/>
  <c r="G32" i="9"/>
  <c r="T44" i="9"/>
  <c r="B52" i="9"/>
  <c r="C52" i="9" s="1"/>
  <c r="D52" i="9" s="1"/>
  <c r="R44" i="2"/>
  <c r="S42" i="6"/>
  <c r="S44" i="7"/>
  <c r="T44" i="1"/>
  <c r="K32" i="2"/>
  <c r="Q44" i="2"/>
  <c r="T44" i="2"/>
  <c r="B50" i="1"/>
  <c r="C50" i="1" s="1"/>
  <c r="B55" i="1"/>
  <c r="B57" i="1"/>
  <c r="C57" i="1" s="1"/>
  <c r="E49" i="2"/>
  <c r="B51" i="6"/>
  <c r="C51" i="6" s="1"/>
  <c r="K32" i="5"/>
  <c r="H27" i="5"/>
  <c r="H28" i="5" s="1"/>
  <c r="G32" i="5" s="1"/>
  <c r="D48" i="5" s="1"/>
  <c r="B60" i="7"/>
  <c r="C60" i="7" s="1"/>
  <c r="S44" i="1"/>
  <c r="R44" i="1"/>
  <c r="Q44" i="1"/>
  <c r="B51" i="1"/>
  <c r="C51" i="1" s="1"/>
  <c r="I53" i="1"/>
  <c r="B54" i="6"/>
  <c r="E61" i="5"/>
  <c r="R44" i="4"/>
  <c r="H27" i="4"/>
  <c r="H28" i="4" s="1"/>
  <c r="G32" i="4" s="1"/>
  <c r="B51" i="3"/>
  <c r="B59" i="3"/>
  <c r="E59" i="3" s="1"/>
  <c r="F59" i="3" s="1"/>
  <c r="G59" i="3" s="1"/>
  <c r="B48" i="7"/>
  <c r="H27" i="7"/>
  <c r="H28" i="7" s="1"/>
  <c r="B61" i="7"/>
  <c r="G61" i="7" s="1"/>
  <c r="R44" i="9"/>
  <c r="B56" i="9"/>
  <c r="S44" i="9"/>
  <c r="B60" i="9"/>
  <c r="C60" i="9" s="1"/>
  <c r="D60" i="9" s="1"/>
  <c r="T42" i="6"/>
  <c r="B50" i="6"/>
  <c r="C50" i="6" s="1"/>
  <c r="G61" i="5"/>
  <c r="B55" i="3"/>
  <c r="R44" i="7"/>
  <c r="T44" i="7"/>
  <c r="B56" i="7"/>
  <c r="I53" i="7"/>
  <c r="D60" i="5"/>
  <c r="D56" i="5"/>
  <c r="D52" i="5"/>
  <c r="E59" i="5"/>
  <c r="E55" i="5"/>
  <c r="E51" i="5"/>
  <c r="F51" i="5" s="1"/>
  <c r="G51" i="5" s="1"/>
  <c r="E52" i="5"/>
  <c r="F52" i="5" s="1"/>
  <c r="G52" i="5" s="1"/>
  <c r="E48" i="5"/>
  <c r="F48" i="5" s="1"/>
  <c r="G48" i="5" s="1"/>
  <c r="D51" i="5"/>
  <c r="E57" i="5"/>
  <c r="F57" i="5" s="1"/>
  <c r="G57" i="5" s="1"/>
  <c r="D55" i="5"/>
  <c r="E53" i="5"/>
  <c r="F53" i="5" s="1"/>
  <c r="G53" i="5" s="1"/>
  <c r="G61" i="4"/>
  <c r="F61" i="4"/>
  <c r="E61" i="4"/>
  <c r="D61" i="4"/>
  <c r="C61" i="4"/>
  <c r="E59" i="2"/>
  <c r="F59" i="2" s="1"/>
  <c r="G59" i="2" s="1"/>
  <c r="E55" i="2"/>
  <c r="F55" i="2" s="1"/>
  <c r="G55" i="2" s="1"/>
  <c r="E51" i="2"/>
  <c r="F51" i="2" s="1"/>
  <c r="G51" i="2" s="1"/>
  <c r="D54" i="2"/>
  <c r="D59" i="2"/>
  <c r="E50" i="2"/>
  <c r="F50" i="2" s="1"/>
  <c r="G50" i="2" s="1"/>
  <c r="E48" i="2"/>
  <c r="F48" i="2" s="1"/>
  <c r="G48" i="2" s="1"/>
  <c r="E53" i="2"/>
  <c r="F53" i="2" s="1"/>
  <c r="G53" i="2" s="1"/>
  <c r="D52" i="2"/>
  <c r="E58" i="2"/>
  <c r="D50" i="2"/>
  <c r="D55" i="2"/>
  <c r="E54" i="2"/>
  <c r="F54" i="2" s="1"/>
  <c r="G54" i="2" s="1"/>
  <c r="E52" i="2"/>
  <c r="F52" i="2" s="1"/>
  <c r="G52" i="2" s="1"/>
  <c r="D51" i="2"/>
  <c r="E57" i="2"/>
  <c r="F57" i="2" s="1"/>
  <c r="G57" i="2" s="1"/>
  <c r="E56" i="2"/>
  <c r="F56" i="2" s="1"/>
  <c r="G56" i="2" s="1"/>
  <c r="D48" i="2"/>
  <c r="D58" i="2"/>
  <c r="K32" i="6"/>
  <c r="Q42" i="6"/>
  <c r="E60" i="5"/>
  <c r="F60" i="5" s="1"/>
  <c r="G60" i="5" s="1"/>
  <c r="E60" i="2"/>
  <c r="C52" i="1"/>
  <c r="G32" i="1"/>
  <c r="D48" i="1" s="1"/>
  <c r="F49" i="2"/>
  <c r="G49" i="2" s="1"/>
  <c r="C57" i="5"/>
  <c r="S44" i="3"/>
  <c r="E55" i="3"/>
  <c r="F55" i="3"/>
  <c r="G55" i="3" s="1"/>
  <c r="C55" i="3"/>
  <c r="D55" i="3"/>
  <c r="C56" i="2"/>
  <c r="D56" i="2" s="1"/>
  <c r="C57" i="2"/>
  <c r="D57" i="2"/>
  <c r="B53" i="1"/>
  <c r="B58" i="1"/>
  <c r="B49" i="1"/>
  <c r="C58" i="6"/>
  <c r="G32" i="6"/>
  <c r="D58" i="6" s="1"/>
  <c r="C59" i="6"/>
  <c r="S44" i="5"/>
  <c r="E52" i="1"/>
  <c r="F52" i="1" s="1"/>
  <c r="G52" i="1" s="1"/>
  <c r="B56" i="1"/>
  <c r="F55" i="5"/>
  <c r="G55" i="5" s="1"/>
  <c r="C58" i="5"/>
  <c r="D58" i="5"/>
  <c r="B56" i="4"/>
  <c r="R44" i="3"/>
  <c r="E48" i="3"/>
  <c r="F48" i="3" s="1"/>
  <c r="G48" i="3" s="1"/>
  <c r="E56" i="3"/>
  <c r="F56" i="3" s="1"/>
  <c r="G56" i="3" s="1"/>
  <c r="E60" i="3"/>
  <c r="F60" i="3" s="1"/>
  <c r="G60" i="3" s="1"/>
  <c r="C49" i="2"/>
  <c r="D49" i="2"/>
  <c r="F60" i="2"/>
  <c r="G60" i="2" s="1"/>
  <c r="C60" i="2"/>
  <c r="D60" i="2" s="1"/>
  <c r="Q44" i="5"/>
  <c r="R44" i="5"/>
  <c r="T44" i="5"/>
  <c r="C49" i="5"/>
  <c r="S44" i="4"/>
  <c r="T44" i="4"/>
  <c r="H29" i="4"/>
  <c r="H30" i="4" s="1"/>
  <c r="B52" i="4"/>
  <c r="Q44" i="3"/>
  <c r="G61" i="3"/>
  <c r="F61" i="3"/>
  <c r="E61" i="3"/>
  <c r="D61" i="3"/>
  <c r="F58" i="2"/>
  <c r="G58" i="2" s="1"/>
  <c r="C54" i="6"/>
  <c r="F59" i="5"/>
  <c r="G59" i="5" s="1"/>
  <c r="B57" i="4"/>
  <c r="B53" i="4"/>
  <c r="B49" i="4"/>
  <c r="B58" i="4"/>
  <c r="B54" i="4"/>
  <c r="B50" i="4"/>
  <c r="B59" i="4"/>
  <c r="B55" i="4"/>
  <c r="B51" i="4"/>
  <c r="B60" i="4"/>
  <c r="K32" i="3"/>
  <c r="E51" i="3"/>
  <c r="F51" i="3" s="1"/>
  <c r="G51" i="3" s="1"/>
  <c r="C51" i="3"/>
  <c r="D51" i="3"/>
  <c r="C59" i="3"/>
  <c r="D59" i="3"/>
  <c r="C53" i="2"/>
  <c r="D53" i="2" s="1"/>
  <c r="R42" i="6"/>
  <c r="C53" i="5"/>
  <c r="D53" i="5"/>
  <c r="B48" i="4"/>
  <c r="E52" i="3"/>
  <c r="F52" i="3" s="1"/>
  <c r="G52" i="3" s="1"/>
  <c r="C57" i="7"/>
  <c r="E50" i="5"/>
  <c r="F50" i="5" s="1"/>
  <c r="G50" i="5" s="1"/>
  <c r="C50" i="5"/>
  <c r="C55" i="1"/>
  <c r="D55" i="1"/>
  <c r="E61" i="2"/>
  <c r="F61" i="2"/>
  <c r="G61" i="2"/>
  <c r="E54" i="5"/>
  <c r="F54" i="5" s="1"/>
  <c r="G54" i="5" s="1"/>
  <c r="C54" i="5"/>
  <c r="D54" i="5"/>
  <c r="C61" i="9"/>
  <c r="D61" i="9" s="1"/>
  <c r="B51" i="9"/>
  <c r="B55" i="9"/>
  <c r="B59" i="9"/>
  <c r="B49" i="6"/>
  <c r="B53" i="6"/>
  <c r="B57" i="6"/>
  <c r="B61" i="6"/>
  <c r="D52" i="3"/>
  <c r="B51" i="7"/>
  <c r="B55" i="7"/>
  <c r="B59" i="7"/>
  <c r="C61" i="7"/>
  <c r="I53" i="6"/>
  <c r="C48" i="3"/>
  <c r="D48" i="3" s="1"/>
  <c r="B50" i="3"/>
  <c r="C52" i="3"/>
  <c r="B54" i="3"/>
  <c r="C56" i="3"/>
  <c r="D56" i="3" s="1"/>
  <c r="B58" i="3"/>
  <c r="C60" i="3"/>
  <c r="D60" i="3" s="1"/>
  <c r="H29" i="7"/>
  <c r="H30" i="7" s="1"/>
  <c r="D61" i="7"/>
  <c r="B50" i="9"/>
  <c r="B54" i="9"/>
  <c r="B58" i="9"/>
  <c r="B48" i="6"/>
  <c r="B52" i="6"/>
  <c r="B56" i="6"/>
  <c r="B60" i="6"/>
  <c r="C48" i="7"/>
  <c r="B50" i="7"/>
  <c r="C52" i="7"/>
  <c r="B54" i="7"/>
  <c r="C56" i="7"/>
  <c r="B58" i="7"/>
  <c r="E61" i="7"/>
  <c r="B49" i="3"/>
  <c r="B53" i="3"/>
  <c r="B57" i="3"/>
  <c r="F61" i="7"/>
  <c r="B49" i="9"/>
  <c r="B53" i="9"/>
  <c r="B57" i="9"/>
  <c r="I53" i="9"/>
  <c r="E61" i="9" s="1"/>
  <c r="F61" i="9" s="1"/>
  <c r="G61" i="9" s="1"/>
  <c r="B55" i="6"/>
  <c r="B49" i="7"/>
  <c r="B53" i="7"/>
  <c r="E48" i="9" l="1"/>
  <c r="F48" i="9" s="1"/>
  <c r="G48" i="9" s="1"/>
  <c r="E56" i="9"/>
  <c r="F56" i="9" s="1"/>
  <c r="G56" i="9" s="1"/>
  <c r="G32" i="7"/>
  <c r="E52" i="7" s="1"/>
  <c r="F52" i="7" s="1"/>
  <c r="G52" i="7" s="1"/>
  <c r="D54" i="6"/>
  <c r="D59" i="6"/>
  <c r="D50" i="6"/>
  <c r="D51" i="1"/>
  <c r="E60" i="9"/>
  <c r="F60" i="9" s="1"/>
  <c r="G60" i="9" s="1"/>
  <c r="C56" i="9"/>
  <c r="D56" i="9" s="1"/>
  <c r="D48" i="9"/>
  <c r="D50" i="5"/>
  <c r="D49" i="5"/>
  <c r="E58" i="5"/>
  <c r="F58" i="5" s="1"/>
  <c r="G58" i="5" s="1"/>
  <c r="D57" i="5"/>
  <c r="E49" i="5"/>
  <c r="F49" i="5" s="1"/>
  <c r="G49" i="5" s="1"/>
  <c r="D59" i="5"/>
  <c r="E56" i="5"/>
  <c r="F56" i="5" s="1"/>
  <c r="G56" i="5" s="1"/>
  <c r="E60" i="7"/>
  <c r="F60" i="7" s="1"/>
  <c r="G60" i="7" s="1"/>
  <c r="E56" i="7"/>
  <c r="F56" i="7" s="1"/>
  <c r="G56" i="7" s="1"/>
  <c r="D52" i="7"/>
  <c r="D57" i="7"/>
  <c r="D60" i="7"/>
  <c r="D48" i="7"/>
  <c r="E49" i="6"/>
  <c r="F49" i="6"/>
  <c r="G49" i="6" s="1"/>
  <c r="C49" i="6"/>
  <c r="D49" i="6" s="1"/>
  <c r="C51" i="4"/>
  <c r="D51" i="4" s="1"/>
  <c r="E51" i="4"/>
  <c r="F51" i="4"/>
  <c r="G51" i="4" s="1"/>
  <c r="E56" i="6"/>
  <c r="F56" i="6" s="1"/>
  <c r="G56" i="6" s="1"/>
  <c r="C56" i="6"/>
  <c r="D56" i="6" s="1"/>
  <c r="C51" i="7"/>
  <c r="E51" i="7"/>
  <c r="F51" i="7" s="1"/>
  <c r="G51" i="7" s="1"/>
  <c r="C56" i="1"/>
  <c r="D56" i="1"/>
  <c r="E56" i="1"/>
  <c r="F56" i="1" s="1"/>
  <c r="G56" i="1" s="1"/>
  <c r="C53" i="7"/>
  <c r="C50" i="9"/>
  <c r="D50" i="9" s="1"/>
  <c r="E50" i="9"/>
  <c r="F50" i="9" s="1"/>
  <c r="G50" i="9" s="1"/>
  <c r="C50" i="7"/>
  <c r="D50" i="7"/>
  <c r="E50" i="7"/>
  <c r="F50" i="7" s="1"/>
  <c r="G50" i="7" s="1"/>
  <c r="E55" i="9"/>
  <c r="F55" i="9" s="1"/>
  <c r="G55" i="9" s="1"/>
  <c r="C55" i="9"/>
  <c r="D55" i="9" s="1"/>
  <c r="F48" i="4"/>
  <c r="G48" i="4" s="1"/>
  <c r="C48" i="4"/>
  <c r="D48" i="4" s="1"/>
  <c r="E48" i="4"/>
  <c r="E49" i="9"/>
  <c r="F49" i="9" s="1"/>
  <c r="G49" i="9" s="1"/>
  <c r="C49" i="9"/>
  <c r="D49" i="9" s="1"/>
  <c r="C58" i="3"/>
  <c r="D58" i="3" s="1"/>
  <c r="E58" i="3"/>
  <c r="F58" i="3"/>
  <c r="G58" i="3" s="1"/>
  <c r="E48" i="6"/>
  <c r="F48" i="6" s="1"/>
  <c r="G48" i="6" s="1"/>
  <c r="C48" i="6"/>
  <c r="D48" i="6" s="1"/>
  <c r="E50" i="4"/>
  <c r="F50" i="4" s="1"/>
  <c r="G50" i="4" s="1"/>
  <c r="C50" i="4"/>
  <c r="D50" i="4" s="1"/>
  <c r="C56" i="4"/>
  <c r="D56" i="4" s="1"/>
  <c r="E56" i="4"/>
  <c r="F56" i="4" s="1"/>
  <c r="G56" i="4" s="1"/>
  <c r="E49" i="1"/>
  <c r="C49" i="1"/>
  <c r="D49" i="1" s="1"/>
  <c r="F49" i="1"/>
  <c r="G49" i="1" s="1"/>
  <c r="E59" i="1"/>
  <c r="F59" i="1" s="1"/>
  <c r="G59" i="1" s="1"/>
  <c r="E48" i="1"/>
  <c r="F48" i="1" s="1"/>
  <c r="G48" i="1" s="1"/>
  <c r="E57" i="1"/>
  <c r="F57" i="1" s="1"/>
  <c r="G57" i="1" s="1"/>
  <c r="E54" i="1"/>
  <c r="F54" i="1" s="1"/>
  <c r="G54" i="1" s="1"/>
  <c r="E51" i="1"/>
  <c r="F51" i="1" s="1"/>
  <c r="G51" i="1" s="1"/>
  <c r="D54" i="1"/>
  <c r="D59" i="1"/>
  <c r="D57" i="1"/>
  <c r="D50" i="1"/>
  <c r="E55" i="1"/>
  <c r="F55" i="1" s="1"/>
  <c r="G55" i="1" s="1"/>
  <c r="E50" i="1"/>
  <c r="F50" i="1" s="1"/>
  <c r="G50" i="1" s="1"/>
  <c r="E52" i="6"/>
  <c r="F52" i="6" s="1"/>
  <c r="G52" i="6" s="1"/>
  <c r="C52" i="6"/>
  <c r="D52" i="6" s="1"/>
  <c r="C54" i="3"/>
  <c r="D54" i="3"/>
  <c r="E54" i="3"/>
  <c r="F54" i="3" s="1"/>
  <c r="G54" i="3" s="1"/>
  <c r="E54" i="4"/>
  <c r="F54" i="4" s="1"/>
  <c r="G54" i="4" s="1"/>
  <c r="C54" i="4"/>
  <c r="D54" i="4"/>
  <c r="C58" i="1"/>
  <c r="D58" i="1" s="1"/>
  <c r="E58" i="1"/>
  <c r="F58" i="1" s="1"/>
  <c r="G58" i="1" s="1"/>
  <c r="D52" i="1"/>
  <c r="E53" i="9"/>
  <c r="F53" i="9" s="1"/>
  <c r="G53" i="9" s="1"/>
  <c r="C53" i="9"/>
  <c r="D53" i="9" s="1"/>
  <c r="E49" i="7"/>
  <c r="F49" i="7" s="1"/>
  <c r="G49" i="7" s="1"/>
  <c r="C49" i="7"/>
  <c r="D49" i="7"/>
  <c r="E53" i="3"/>
  <c r="F53" i="3" s="1"/>
  <c r="G53" i="3" s="1"/>
  <c r="C53" i="3"/>
  <c r="D53" i="3" s="1"/>
  <c r="C61" i="6"/>
  <c r="D61" i="6"/>
  <c r="E61" i="6"/>
  <c r="F61" i="6"/>
  <c r="G61" i="6"/>
  <c r="E58" i="4"/>
  <c r="F58" i="4"/>
  <c r="G58" i="4" s="1"/>
  <c r="C58" i="4"/>
  <c r="D58" i="4" s="1"/>
  <c r="E53" i="1"/>
  <c r="C53" i="1"/>
  <c r="D53" i="1" s="1"/>
  <c r="F53" i="1"/>
  <c r="G53" i="1" s="1"/>
  <c r="C54" i="7"/>
  <c r="D54" i="7"/>
  <c r="E54" i="7"/>
  <c r="F54" i="7" s="1"/>
  <c r="G54" i="7" s="1"/>
  <c r="E57" i="4"/>
  <c r="F57" i="4"/>
  <c r="G57" i="4" s="1"/>
  <c r="C57" i="4"/>
  <c r="D57" i="4"/>
  <c r="E59" i="9"/>
  <c r="F59" i="9" s="1"/>
  <c r="G59" i="9" s="1"/>
  <c r="C59" i="9"/>
  <c r="D59" i="9" s="1"/>
  <c r="C55" i="4"/>
  <c r="D55" i="4" s="1"/>
  <c r="E55" i="4"/>
  <c r="F55" i="4"/>
  <c r="G55" i="4" s="1"/>
  <c r="E57" i="3"/>
  <c r="F57" i="3" s="1"/>
  <c r="G57" i="3" s="1"/>
  <c r="C57" i="3"/>
  <c r="D57" i="3" s="1"/>
  <c r="C59" i="4"/>
  <c r="D59" i="4" s="1"/>
  <c r="E59" i="4"/>
  <c r="F59" i="4"/>
  <c r="G59" i="4" s="1"/>
  <c r="C55" i="6"/>
  <c r="D55" i="6" s="1"/>
  <c r="E55" i="6"/>
  <c r="F55" i="6" s="1"/>
  <c r="G55" i="6" s="1"/>
  <c r="E51" i="9"/>
  <c r="F51" i="9" s="1"/>
  <c r="G51" i="9" s="1"/>
  <c r="C51" i="9"/>
  <c r="D51" i="9"/>
  <c r="C58" i="9"/>
  <c r="D58" i="9" s="1"/>
  <c r="E58" i="9"/>
  <c r="F58" i="9" s="1"/>
  <c r="G58" i="9" s="1"/>
  <c r="E57" i="9"/>
  <c r="F57" i="9" s="1"/>
  <c r="G57" i="9" s="1"/>
  <c r="C57" i="9"/>
  <c r="D57" i="9" s="1"/>
  <c r="E49" i="3"/>
  <c r="F49" i="3" s="1"/>
  <c r="G49" i="3" s="1"/>
  <c r="C49" i="3"/>
  <c r="D49" i="3" s="1"/>
  <c r="C58" i="7"/>
  <c r="D58" i="7" s="1"/>
  <c r="E58" i="7"/>
  <c r="F58" i="7" s="1"/>
  <c r="G58" i="7" s="1"/>
  <c r="C50" i="3"/>
  <c r="D50" i="3" s="1"/>
  <c r="E50" i="3"/>
  <c r="F50" i="3" s="1"/>
  <c r="G50" i="3" s="1"/>
  <c r="C59" i="7"/>
  <c r="D59" i="7"/>
  <c r="E59" i="7"/>
  <c r="F59" i="7" s="1"/>
  <c r="G59" i="7" s="1"/>
  <c r="C57" i="6"/>
  <c r="D57" i="6" s="1"/>
  <c r="E57" i="6"/>
  <c r="F57" i="6" s="1"/>
  <c r="G57" i="6" s="1"/>
  <c r="E49" i="4"/>
  <c r="F49" i="4" s="1"/>
  <c r="G49" i="4" s="1"/>
  <c r="C49" i="4"/>
  <c r="D49" i="4"/>
  <c r="C52" i="4"/>
  <c r="D52" i="4" s="1"/>
  <c r="E52" i="4"/>
  <c r="F52" i="4" s="1"/>
  <c r="G52" i="4" s="1"/>
  <c r="E60" i="6"/>
  <c r="F60" i="6" s="1"/>
  <c r="G60" i="6" s="1"/>
  <c r="C60" i="6"/>
  <c r="D60" i="6" s="1"/>
  <c r="C54" i="9"/>
  <c r="D54" i="9" s="1"/>
  <c r="E54" i="9"/>
  <c r="F54" i="9" s="1"/>
  <c r="G54" i="9" s="1"/>
  <c r="C55" i="7"/>
  <c r="D55" i="7"/>
  <c r="E55" i="7"/>
  <c r="F55" i="7" s="1"/>
  <c r="G55" i="7" s="1"/>
  <c r="C53" i="6"/>
  <c r="D53" i="6" s="1"/>
  <c r="E53" i="6"/>
  <c r="F53" i="6"/>
  <c r="G53" i="6" s="1"/>
  <c r="C60" i="4"/>
  <c r="D60" i="4" s="1"/>
  <c r="E60" i="4"/>
  <c r="F60" i="4" s="1"/>
  <c r="G60" i="4" s="1"/>
  <c r="E53" i="4"/>
  <c r="F53" i="4" s="1"/>
  <c r="G53" i="4" s="1"/>
  <c r="C53" i="4"/>
  <c r="D53" i="4"/>
  <c r="E52" i="9"/>
  <c r="F52" i="9" s="1"/>
  <c r="G52" i="9" s="1"/>
  <c r="E50" i="6"/>
  <c r="F50" i="6" s="1"/>
  <c r="G50" i="6" s="1"/>
  <c r="E54" i="6"/>
  <c r="F54" i="6" s="1"/>
  <c r="G54" i="6" s="1"/>
  <c r="E59" i="6"/>
  <c r="F59" i="6" s="1"/>
  <c r="G59" i="6" s="1"/>
  <c r="E51" i="6"/>
  <c r="F51" i="6" s="1"/>
  <c r="G51" i="6" s="1"/>
  <c r="E58" i="6"/>
  <c r="F58" i="6" s="1"/>
  <c r="G58" i="6" s="1"/>
  <c r="D51" i="6"/>
  <c r="D51" i="7" l="1"/>
  <c r="D56" i="7"/>
  <c r="E48" i="7"/>
  <c r="F48" i="7" s="1"/>
  <c r="G48" i="7" s="1"/>
  <c r="D53" i="7"/>
  <c r="E53" i="7"/>
  <c r="F53" i="7" s="1"/>
  <c r="G53" i="7" s="1"/>
  <c r="E57" i="7"/>
  <c r="F57" i="7" s="1"/>
  <c r="G57" i="7" s="1"/>
</calcChain>
</file>

<file path=xl/sharedStrings.xml><?xml version="1.0" encoding="utf-8"?>
<sst xmlns="http://schemas.openxmlformats.org/spreadsheetml/2006/main" count="1489" uniqueCount="560">
  <si>
    <t xml:space="preserve">BUNKER SILO SIZING </t>
  </si>
  <si>
    <t>Brian J. Holmes</t>
  </si>
  <si>
    <t>Professor and Extension Specialist</t>
  </si>
  <si>
    <t>Biological Systems Engineering Dept.</t>
  </si>
  <si>
    <t>University of Wisconsin-Madison</t>
  </si>
  <si>
    <t>=</t>
  </si>
  <si>
    <t>Voice: (608) 262-0096</t>
  </si>
  <si>
    <t>Hay1</t>
  </si>
  <si>
    <t>Hay2</t>
  </si>
  <si>
    <t>Hay3</t>
  </si>
  <si>
    <t>Corn</t>
  </si>
  <si>
    <t>FAX:    (608) 262-1228</t>
  </si>
  <si>
    <t>Number</t>
  </si>
  <si>
    <t>Silage</t>
  </si>
  <si>
    <t>per</t>
  </si>
  <si>
    <t>Group</t>
  </si>
  <si>
    <t>TOTAL</t>
  </si>
  <si>
    <t>--------  LBS DM/ANIMAL-DAY    ---------</t>
  </si>
  <si>
    <t>--------  LBS DM/GROUP-DAY    ---------</t>
  </si>
  <si>
    <t>DRY</t>
  </si>
  <si>
    <t>Transition</t>
  </si>
  <si>
    <t>INPUT</t>
  </si>
  <si>
    <t>Dry1</t>
  </si>
  <si>
    <t>Dry2</t>
  </si>
  <si>
    <t>Forage Type (hay, corn, oats&amp;peas etc):</t>
  </si>
  <si>
    <t>Close-up</t>
  </si>
  <si>
    <t>Herd Daily Feed Need (Lbs DMI/Herd-Day)  =</t>
  </si>
  <si>
    <t>Maternity</t>
  </si>
  <si>
    <t>Fresh</t>
  </si>
  <si>
    <t>Storage Loss (%)                                      =</t>
  </si>
  <si>
    <t xml:space="preserve">           Fill through Storage</t>
  </si>
  <si>
    <t>Two-year-olds</t>
  </si>
  <si>
    <t>THREE YRS &amp; OLDER</t>
  </si>
  <si>
    <t>High Producers</t>
  </si>
  <si>
    <t>Medium Producers</t>
  </si>
  <si>
    <t>Silage Wet Density (40 Lbs/cu ft)               =</t>
  </si>
  <si>
    <t>Low Producers</t>
  </si>
  <si>
    <t>Silage Moisture Content (%)                       =</t>
  </si>
  <si>
    <t>Sick Cows</t>
  </si>
  <si>
    <t>-</t>
  </si>
  <si>
    <t>Face Removal Rate (min. 6 In/Day)             =</t>
  </si>
  <si>
    <t>MATURE COWS</t>
  </si>
  <si>
    <t>Storage Period (days)                                =</t>
  </si>
  <si>
    <t>HEIFERS</t>
  </si>
  <si>
    <t>3-5 months</t>
  </si>
  <si>
    <t>Maximum Silo Length (150 ft)                     =</t>
  </si>
  <si>
    <t>6-8 months</t>
  </si>
  <si>
    <t xml:space="preserve">     for about 10 foot wall height</t>
  </si>
  <si>
    <t>9-12 months</t>
  </si>
  <si>
    <t>13-15 months</t>
  </si>
  <si>
    <t>16 months-freshening</t>
  </si>
  <si>
    <t>RESULTS</t>
  </si>
  <si>
    <t>AVERAGE</t>
  </si>
  <si>
    <t>NUMBER</t>
  </si>
  <si>
    <t>BUNKER</t>
  </si>
  <si>
    <t>FORAGE</t>
  </si>
  <si>
    <t>WALL</t>
  </si>
  <si>
    <t>of</t>
  </si>
  <si>
    <t>LENGTH</t>
  </si>
  <si>
    <t>PLACED</t>
  </si>
  <si>
    <t>LOSS</t>
  </si>
  <si>
    <t>DM LOSS</t>
  </si>
  <si>
    <t>HEIGHT</t>
  </si>
  <si>
    <t>WIDTH</t>
  </si>
  <si>
    <t>INTO</t>
  </si>
  <si>
    <t>Fill through</t>
  </si>
  <si>
    <t>SILOS</t>
  </si>
  <si>
    <t>(FEET)</t>
  </si>
  <si>
    <t>STORAGE</t>
  </si>
  <si>
    <t>Refusal</t>
  </si>
  <si>
    <t>(EACH)</t>
  </si>
  <si>
    <t>(TDM)</t>
  </si>
  <si>
    <t>(%)</t>
  </si>
  <si>
    <t>*</t>
  </si>
  <si>
    <t>* Forage DM Loss is the sum of the Storage Loss and Feeding Loss (entered above) at 12 foot wall height plus a feeding face loss.</t>
  </si>
  <si>
    <t>bjholmes@wisc.edu</t>
  </si>
  <si>
    <t>BUNKER SILO SIZING - Metric Version</t>
  </si>
  <si>
    <t>Silage Wet Density (705 Kg/cu m)               =</t>
  </si>
  <si>
    <t>Face Removal Rate (min. 0.15 m/Day)             =</t>
  </si>
  <si>
    <t>Maximum Silo Length (46 m)                     =</t>
  </si>
  <si>
    <t xml:space="preserve">     for about 3 meter wall height</t>
  </si>
  <si>
    <t>(Meter)</t>
  </si>
  <si>
    <t>(tDM)</t>
  </si>
  <si>
    <t>* Forage DM Loss is the sum of the Storage Loss and Feeding Loss (entered above) at 3.7 meter wall height plus a feeding face loss.</t>
  </si>
  <si>
    <t>--------  Kg DM/ANIMAL-DAY    ---------</t>
  </si>
  <si>
    <t>--------  Kg DM/GROUP-DAY    ---------</t>
  </si>
  <si>
    <t>Losses will be greater for wall height less than 12 feet and less for higher walls due to top surface area effects.</t>
  </si>
  <si>
    <t>================================================================</t>
  </si>
  <si>
    <r>
      <t xml:space="preserve">User input values are in </t>
    </r>
    <r>
      <rPr>
        <sz val="10"/>
        <color indexed="12"/>
        <rFont val="Helv"/>
      </rPr>
      <t>blue text</t>
    </r>
    <r>
      <rPr>
        <sz val="10"/>
        <rFont val="Helv"/>
      </rPr>
      <t xml:space="preserve"> with yellow background</t>
    </r>
  </si>
  <si>
    <t>Madison, WI 53706</t>
  </si>
  <si>
    <t>HERD TOTAL (Lbs DM/Herd/day)</t>
  </si>
  <si>
    <t>HERD TOTAL  (Kg DM/herd/day)</t>
  </si>
  <si>
    <t>=================================================================</t>
  </si>
  <si>
    <t>Maximum Packing Tractor Width (feet) =</t>
  </si>
  <si>
    <t>Maximum Packing Tractor Width (meters) =</t>
  </si>
  <si>
    <t>DIMENSIONAMENTO DE SILO TRINCHEIRA</t>
  </si>
  <si>
    <t>ENTRADA DE DADOS</t>
  </si>
  <si>
    <t>Perda na Estocagem (%)                                      =</t>
  </si>
  <si>
    <t>Perda no Fornecimento (%)                                      =</t>
  </si>
  <si>
    <t>Umidade da Silagem (%)                       =</t>
  </si>
  <si>
    <t xml:space="preserve">     para parede de aproximadamente 3 metros de altura</t>
  </si>
  <si>
    <t>RESULTADOS</t>
  </si>
  <si>
    <t>PAREDE</t>
  </si>
  <si>
    <t>ALTURA</t>
  </si>
  <si>
    <t>LARGURA</t>
  </si>
  <si>
    <t>de</t>
  </si>
  <si>
    <t>TRINCHEIRA</t>
  </si>
  <si>
    <t>COMPRIMENTO</t>
  </si>
  <si>
    <t>DO SILO</t>
  </si>
  <si>
    <t>(CADA)</t>
  </si>
  <si>
    <t>(Metros)</t>
  </si>
  <si>
    <t>FORRAGEM</t>
  </si>
  <si>
    <t>ESTOCADA</t>
  </si>
  <si>
    <t>(t MS)</t>
  </si>
  <si>
    <t>PERDA DE</t>
  </si>
  <si>
    <t>PORCENTAGEM</t>
  </si>
  <si>
    <t>Grupo</t>
  </si>
  <si>
    <t>SECAS</t>
  </si>
  <si>
    <t>Maternidade</t>
  </si>
  <si>
    <t>Dois anos de idade</t>
  </si>
  <si>
    <t>Animais doentes</t>
  </si>
  <si>
    <t>VACAS ADULTAS</t>
  </si>
  <si>
    <t>NOVILHAS</t>
  </si>
  <si>
    <t>3-5 meses</t>
  </si>
  <si>
    <t>6-8 meses</t>
  </si>
  <si>
    <t>9-12 meses</t>
  </si>
  <si>
    <t>13-15 meses</t>
  </si>
  <si>
    <t>Secas1</t>
  </si>
  <si>
    <t>Secas2</t>
  </si>
  <si>
    <t>por</t>
  </si>
  <si>
    <t>Silagem</t>
  </si>
  <si>
    <t>Milho</t>
  </si>
  <si>
    <t xml:space="preserve">          desta Forragem</t>
  </si>
  <si>
    <t>TOTAL REBANHO (Kg MS/rebanho/dia)</t>
  </si>
  <si>
    <t>DE PERDA DE MS</t>
  </si>
  <si>
    <t xml:space="preserve">Enchimento e </t>
  </si>
  <si>
    <t>Forragem1</t>
  </si>
  <si>
    <t>Forragem2</t>
  </si>
  <si>
    <t>Forragem3</t>
  </si>
  <si>
    <t>Tipo de Forragem (milho, sorgo, milheto, capim, napier, alfafa, aveia, cana, etc):</t>
  </si>
  <si>
    <t xml:space="preserve">           (profundidade do corte)</t>
  </si>
  <si>
    <t>--------  Kg MS/GRUPO-DIA    ----------------------------</t>
  </si>
  <si>
    <t>--------  Kg MS/ANIMAL-DIA    ------------------------------</t>
  </si>
  <si>
    <t>Universidade de Wisconsin-Madison</t>
  </si>
  <si>
    <t>Professor e Extensionista Especialista</t>
  </si>
  <si>
    <t>Madison, WI, EUA 53706</t>
  </si>
  <si>
    <t xml:space="preserve">ОПРЕДЕЛЕНИЕ РАЗМЕРА СИЛОСНОЙ ЯМЫ </t>
  </si>
  <si>
    <t xml:space="preserve">Браен Дж. Холмс </t>
  </si>
  <si>
    <t xml:space="preserve">Профессор и специалист по распространению с/х знаний </t>
  </si>
  <si>
    <t xml:space="preserve">Факультет проектирования биологических систем </t>
  </si>
  <si>
    <t xml:space="preserve">Университет Висконсина, Медисон </t>
  </si>
  <si>
    <t>Сено1</t>
  </si>
  <si>
    <t>Сено2</t>
  </si>
  <si>
    <t>Сено3</t>
  </si>
  <si>
    <t>Кукурузный</t>
  </si>
  <si>
    <t>Количество</t>
  </si>
  <si>
    <t>Силос</t>
  </si>
  <si>
    <t>силос</t>
  </si>
  <si>
    <t>на</t>
  </si>
  <si>
    <t>Группа</t>
  </si>
  <si>
    <t>группу</t>
  </si>
  <si>
    <t>ВСЕГО</t>
  </si>
  <si>
    <t>--------  кг СВ/ ГОЛ. В ДЕНЬ     ---------</t>
  </si>
  <si>
    <t>--------  кг СВ/ ГРУППУ В ДЕНЬ     ---------</t>
  </si>
  <si>
    <r>
      <t xml:space="preserve">Значенеия, вводимые пользователем, выделены </t>
    </r>
    <r>
      <rPr>
        <sz val="10"/>
        <color indexed="12"/>
        <rFont val="Helv"/>
      </rPr>
      <t>синим шрифтом</t>
    </r>
    <r>
      <rPr>
        <sz val="10"/>
        <rFont val="Helv"/>
      </rPr>
      <t xml:space="preserve"> на желтом фоне </t>
    </r>
  </si>
  <si>
    <t xml:space="preserve">ВВОДНЫЕ ДАННЫЕ </t>
  </si>
  <si>
    <t>СУХОСТОЙ</t>
  </si>
  <si>
    <t>переход</t>
  </si>
  <si>
    <t>Максимальная ширина трактора для утрамбовки (м) =</t>
  </si>
  <si>
    <t>сухостой 1</t>
  </si>
  <si>
    <t>сухостой 2</t>
  </si>
  <si>
    <t>Тип фуража (сено, кукуруза, овес и горох и пр.):</t>
  </si>
  <si>
    <t>позднестельные</t>
  </si>
  <si>
    <t>Суточная потребность стада в кормах (потребление СВ, кг/ стадо/ день)  =</t>
  </si>
  <si>
    <t xml:space="preserve">Отел </t>
  </si>
  <si>
    <t>Фураж</t>
  </si>
  <si>
    <t>Новотельные</t>
  </si>
  <si>
    <t>Потери при хранении (%)                                      =</t>
  </si>
  <si>
    <t xml:space="preserve">           от заполнения и в течение хранения </t>
  </si>
  <si>
    <t>2-летние</t>
  </si>
  <si>
    <t>Потери при кормлении (%)                                      =</t>
  </si>
  <si>
    <t xml:space="preserve">3 ГОДА И СТАРШЕ </t>
  </si>
  <si>
    <t xml:space="preserve">           остатки</t>
  </si>
  <si>
    <t>высокая продуктивность</t>
  </si>
  <si>
    <t>средняя продуктивность</t>
  </si>
  <si>
    <t>Плотность влажного силоса (705 кг/ м3)               =</t>
  </si>
  <si>
    <t>низкая продуктивность</t>
  </si>
  <si>
    <t xml:space="preserve">больные коровы </t>
  </si>
  <si>
    <t>Интенсивность забора силоса (мин. 0.15 м/ день)             =</t>
  </si>
  <si>
    <t xml:space="preserve">ВЗРОСЛЫЕ КОРОВЫ </t>
  </si>
  <si>
    <t>НЕТЕЛИ</t>
  </si>
  <si>
    <t>3-5 мес.</t>
  </si>
  <si>
    <t>Максимальная длина силоса (46 м)                     =</t>
  </si>
  <si>
    <t>6-8 мес.</t>
  </si>
  <si>
    <t xml:space="preserve">     высота стенок около 3 метров</t>
  </si>
  <si>
    <t>9-12 мес.</t>
  </si>
  <si>
    <t>13-15 мес.</t>
  </si>
  <si>
    <t>16 мес.-отел</t>
  </si>
  <si>
    <t xml:space="preserve">РЕЗУЛЬТАТЫ </t>
  </si>
  <si>
    <t xml:space="preserve">НЕТЕЛИ </t>
  </si>
  <si>
    <t>СРЕДНЯЯ</t>
  </si>
  <si>
    <t>КОЛИЧЕСТВО</t>
  </si>
  <si>
    <t xml:space="preserve">ДЛИНА </t>
  </si>
  <si>
    <t>ФУРАЖ,</t>
  </si>
  <si>
    <t xml:space="preserve">ПОТЕРИ </t>
  </si>
  <si>
    <t xml:space="preserve">ВЫСОТА </t>
  </si>
  <si>
    <t xml:space="preserve">ШИРИНА </t>
  </si>
  <si>
    <t>ХРАНИЛИЩА</t>
  </si>
  <si>
    <t xml:space="preserve">ЗАКЛАДЫВАЕМЫЙ </t>
  </si>
  <si>
    <t>ФУРАЖА</t>
  </si>
  <si>
    <t>ПОТЕРИ СВ</t>
  </si>
  <si>
    <t>СТЕНКИ</t>
  </si>
  <si>
    <t xml:space="preserve">СИЛОСНЫХ </t>
  </si>
  <si>
    <t>НА</t>
  </si>
  <si>
    <t xml:space="preserve">от заполнения до </t>
  </si>
  <si>
    <t>ВСЕГО НА СТАДО (кг СВ/ стадо/ день)</t>
  </si>
  <si>
    <t>ЯМ</t>
  </si>
  <si>
    <t>(м)</t>
  </si>
  <si>
    <t>ХРАНЕНИЕ</t>
  </si>
  <si>
    <t>скармливания (отказ)</t>
  </si>
  <si>
    <t>(М)</t>
  </si>
  <si>
    <t>(КАЖДЫЙ)</t>
  </si>
  <si>
    <t>(тСВ)</t>
  </si>
  <si>
    <t xml:space="preserve">* Потери СВ фуража - это сумма потерь при Хранении и Скармливании (данные вводятся выше) при высоте стенки 3.7 метров, плюс потери в месте отбора силоса </t>
  </si>
  <si>
    <t>Потери будут выше при высоте стенки менее 3.7 метров и меньше при большей высоте, что обусловлено площадью поверхности сверху.</t>
  </si>
  <si>
    <t>Период хранения (дни)                                         =</t>
  </si>
  <si>
    <t>Влажность силоса  (%)                             =</t>
  </si>
  <si>
    <t>Hay 1 Silage, Hay 2 Silage, Hay 3 Silage, Corn Silage, My Silage</t>
  </si>
  <si>
    <t>select feed from displayed table</t>
  </si>
  <si>
    <t xml:space="preserve">       Click on Cell E17 then down arrow </t>
  </si>
  <si>
    <t>My Silage</t>
  </si>
  <si>
    <t>PERCENT</t>
  </si>
  <si>
    <t>8/15/2009 Edited 3-8-15</t>
  </si>
  <si>
    <t>Mar/08/15</t>
  </si>
  <si>
    <t>Minha Silagem</t>
  </si>
  <si>
    <t>selecione o alimento disponível na tabela</t>
  </si>
  <si>
    <t xml:space="preserve">       Clique na célula E17; clique na flecha</t>
  </si>
  <si>
    <r>
      <t xml:space="preserve">Valores inseridos pelo usuário estão em </t>
    </r>
    <r>
      <rPr>
        <sz val="10"/>
        <color indexed="12"/>
        <rFont val="Helv"/>
      </rPr>
      <t xml:space="preserve">azul </t>
    </r>
    <r>
      <rPr>
        <sz val="10"/>
        <rFont val="Helv"/>
      </rPr>
      <t>com fundo amarelo</t>
    </r>
  </si>
  <si>
    <t>Largura Máxima do Trator Carregador (metros) =</t>
  </si>
  <si>
    <t>Requerimento Nutricional Diário do Rebanho (Kg MS/Rebanho-Dia)  =</t>
  </si>
  <si>
    <t xml:space="preserve">           do Enchimento do silo até o final do período de Estocagem</t>
  </si>
  <si>
    <t>Densidade da Silagem Úmida (705 Kg/m3)               =</t>
  </si>
  <si>
    <t>Taxa de Remoção da Silagem (min. 0.15 m/dia)             =</t>
  </si>
  <si>
    <t>Período de Estocagem (dias)                                =</t>
  </si>
  <si>
    <t>Comprimento Máximo do Silo (46 m)                     =</t>
  </si>
  <si>
    <t>MÉDIA</t>
  </si>
  <si>
    <t>NÚMERO</t>
  </si>
  <si>
    <t>Rejeição</t>
  </si>
  <si>
    <t>* Perda de MS de Forragem é a soma da Perda na Estocagem e da Perda no Fornecimento (inseridos acima) com uma parede de 3.7 metros de altura, mais uma Perda de Superfície</t>
  </si>
  <si>
    <t>As perdas serão maiores para paredes mais baixas que 4 metros, e menores para paredes mais altas, devido ao efeito da área de superfície no topo do silo.</t>
  </si>
  <si>
    <t>Número</t>
  </si>
  <si>
    <t>Pré-parto</t>
  </si>
  <si>
    <t>Recém-Paridas</t>
  </si>
  <si>
    <t>Três anos e Acima</t>
  </si>
  <si>
    <t>Alta Produção</t>
  </si>
  <si>
    <t>Média Produção</t>
  </si>
  <si>
    <t>Baixa Produção</t>
  </si>
  <si>
    <t>16 meses e pré-parto</t>
  </si>
  <si>
    <t>Transição</t>
  </si>
  <si>
    <t>Depart. Engenharia de Sistemas Biológicos</t>
  </si>
  <si>
    <t>8 марта 2015</t>
  </si>
  <si>
    <t>выбрать корм из выпадающей таблицы</t>
  </si>
  <si>
    <t>Нажать на ячейку E17, а потом стрелку вниз</t>
  </si>
  <si>
    <t>Мой силос</t>
  </si>
  <si>
    <t>Herd Daily Feed Need  (Kg DM/herd/day)  =</t>
  </si>
  <si>
    <t>Animal Group</t>
  </si>
  <si>
    <t>Informacion a Entrar</t>
  </si>
  <si>
    <r>
      <t xml:space="preserve">Valores en </t>
    </r>
    <r>
      <rPr>
        <sz val="10"/>
        <color rgb="FF451CF4"/>
        <rFont val="Helv"/>
      </rPr>
      <t>Azul</t>
    </r>
    <r>
      <rPr>
        <sz val="10"/>
        <rFont val="Helv"/>
      </rPr>
      <t xml:space="preserve"> con fondo amarillo son los que el Usuario debe de entrar</t>
    </r>
  </si>
  <si>
    <t>Ancho Maximo del Tractor Compactador (metros) =</t>
  </si>
  <si>
    <t>Necesidad Diaria de Alimento para el Hato (Kg consumoMS/Hato-Diario)  =</t>
  </si>
  <si>
    <t>Perdidad de Almacenamiento (%)                                      =</t>
  </si>
  <si>
    <t>Perdidad de Alimentacion (%)                                      =</t>
  </si>
  <si>
    <t>Densidad Humeda del Ensilaje (705 Kg/m3)               =</t>
  </si>
  <si>
    <t>Contenido de Humedad del Ensilaje  (%)                       =</t>
  </si>
  <si>
    <t>Tiempo de Almacenamiento (dias)                                =</t>
  </si>
  <si>
    <t>Longitud Maxima del Silo (46 m)                     =</t>
  </si>
  <si>
    <t>DE LA PARED</t>
  </si>
  <si>
    <t>ANCHO</t>
  </si>
  <si>
    <t>PROMEDIO</t>
  </si>
  <si>
    <t>DE LA TRINCHERA</t>
  </si>
  <si>
    <t>NUMERO</t>
  </si>
  <si>
    <t>DE TRINCHERA</t>
  </si>
  <si>
    <t>LARGO</t>
  </si>
  <si>
    <t>de la TRINCHERA</t>
  </si>
  <si>
    <t>(CADA UNO)</t>
  </si>
  <si>
    <t>(tMS)</t>
  </si>
  <si>
    <t>FORRAJE</t>
  </si>
  <si>
    <t>COLOCADO</t>
  </si>
  <si>
    <t>PERDIDO</t>
  </si>
  <si>
    <t>PORCENTAGE</t>
  </si>
  <si>
    <t xml:space="preserve">MS </t>
  </si>
  <si>
    <t>PERDIDA</t>
  </si>
  <si>
    <t>Las Perdidas seran mayores en alturas de pared menores de 4 m debido al efecto de superficie de area en lo alto del silo.</t>
  </si>
  <si>
    <t>Grupo Animal</t>
  </si>
  <si>
    <t>--------  Kg MS/ANIMAL-DIA    ---------</t>
  </si>
  <si>
    <t>En Transicion</t>
  </si>
  <si>
    <t>Maternidad</t>
  </si>
  <si>
    <t>Frescas</t>
  </si>
  <si>
    <r>
      <t>Dos A</t>
    </r>
    <r>
      <rPr>
        <sz val="10"/>
        <rFont val="Calibri"/>
        <family val="2"/>
      </rPr>
      <t>ñ</t>
    </r>
    <r>
      <rPr>
        <sz val="10"/>
        <rFont val="Helv"/>
      </rPr>
      <t>os de Edad</t>
    </r>
  </si>
  <si>
    <t>Tres Años o Mas</t>
  </si>
  <si>
    <t>Altas Productoras</t>
  </si>
  <si>
    <t>Baja Productoras</t>
  </si>
  <si>
    <t>Productoras Medias</t>
  </si>
  <si>
    <t>Vacas Enfermas</t>
  </si>
  <si>
    <t>VACAS MADURAS</t>
  </si>
  <si>
    <t>VAQUILLAS</t>
  </si>
  <si>
    <t>16 meses-frescas</t>
  </si>
  <si>
    <t>Ensilaje</t>
  </si>
  <si>
    <t>Maiz</t>
  </si>
  <si>
    <t>--------  Kg MS/GRUPO-DIA    ---------</t>
  </si>
  <si>
    <t xml:space="preserve">Profesor Emerito y Especialista en Extension </t>
  </si>
  <si>
    <t>Dept. Ingenieria de Systemas Biologicos</t>
  </si>
  <si>
    <t xml:space="preserve">       Darle click en la Celula E17 luego la flecha hacia abajo </t>
  </si>
  <si>
    <t>seleccionar el alimento en el cuadro que aparece</t>
  </si>
  <si>
    <t xml:space="preserve">           Del Alimento Removido hasta el Rechazado</t>
  </si>
  <si>
    <t xml:space="preserve">          Del Llenado hasta el Almacenamiento</t>
  </si>
  <si>
    <t>Velocidad de Remocion de la Cara del Ensilaje (min. 0.15 m/Dia)             =</t>
  </si>
  <si>
    <t xml:space="preserve">    para una altura aproximada de la pared de 3 m</t>
  </si>
  <si>
    <t>Del Llenado al</t>
  </si>
  <si>
    <t>Rechazado</t>
  </si>
  <si>
    <t>* Forraje MS Perdido es la suma de las Perdidas de Almacenamiento y Perdidas de Alimentacion (Anotada arriba) a 3.7 metros de la altura de la pared mas las perdidas de alimentacion en la cara frontal del silo.</t>
  </si>
  <si>
    <r>
      <t>N</t>
    </r>
    <r>
      <rPr>
        <sz val="10"/>
        <rFont val="Calibri"/>
        <family val="2"/>
      </rPr>
      <t>ύ</t>
    </r>
    <r>
      <rPr>
        <sz val="10"/>
        <rFont val="Helv"/>
      </rPr>
      <t>mero</t>
    </r>
  </si>
  <si>
    <t>Cercanas al Parto</t>
  </si>
  <si>
    <t>TOTAL del HATO (Kg MS/hato/dia)</t>
  </si>
  <si>
    <t>Tipo de Forraje  (alfalfa, maiz, avena y garbanzo etc):</t>
  </si>
  <si>
    <t>ALMACENAMIENTO</t>
  </si>
  <si>
    <t>EN EL SILO PARA</t>
  </si>
  <si>
    <t>alfalfa/pasto 1</t>
  </si>
  <si>
    <t>Ensilaje de</t>
  </si>
  <si>
    <t>alfalfa/pasto 2</t>
  </si>
  <si>
    <t>alfalfa/pasto 3</t>
  </si>
  <si>
    <t>Mi Ensilaje</t>
  </si>
  <si>
    <r>
      <t xml:space="preserve">8/15/2009 </t>
    </r>
    <r>
      <rPr>
        <b/>
        <sz val="10"/>
        <rFont val="Helv"/>
      </rPr>
      <t>Edited 3-16-15</t>
    </r>
  </si>
  <si>
    <r>
      <t>DISEÑANDO UN SILO De TRINCHERA - Version en Sistema M</t>
    </r>
    <r>
      <rPr>
        <b/>
        <sz val="10"/>
        <color indexed="10"/>
        <rFont val="Calibri"/>
        <family val="2"/>
      </rPr>
      <t>é</t>
    </r>
    <r>
      <rPr>
        <b/>
        <sz val="10"/>
        <color indexed="10"/>
        <rFont val="Helv"/>
      </rPr>
      <t>trico</t>
    </r>
  </si>
  <si>
    <t>Removal Rate (in/day) =</t>
  </si>
  <si>
    <t>My Bulk Density (lbs AF/Cu Ft) =</t>
  </si>
  <si>
    <t>Dry Matter Content (%) =</t>
  </si>
  <si>
    <t>Dry Matter Density (Lbs DM/cu ft) =</t>
  </si>
  <si>
    <t>Porosity =</t>
  </si>
  <si>
    <t>Porosity @ 40 Lbs AF/cu ft =</t>
  </si>
  <si>
    <t>DM Dens @ 40 Lbs AF/cu ft (lbs DM/Cu Ft) =</t>
  </si>
  <si>
    <t>======================================================================================================</t>
  </si>
  <si>
    <t>===========================================================================================================================</t>
  </si>
  <si>
    <t>==================================================================================================</t>
  </si>
  <si>
    <t>===================================================================</t>
  </si>
  <si>
    <t>Falközi siló méretezése</t>
  </si>
  <si>
    <t>Madison, WI 53711</t>
  </si>
  <si>
    <t>Kukorica</t>
  </si>
  <si>
    <t>Szenázs1</t>
  </si>
  <si>
    <t>Szenázs2</t>
  </si>
  <si>
    <t>Szenázs3</t>
  </si>
  <si>
    <t>szilázs</t>
  </si>
  <si>
    <t>Csoport</t>
  </si>
  <si>
    <t>Szárazonállók</t>
  </si>
  <si>
    <t>Tranzíció</t>
  </si>
  <si>
    <t>Adatbevitel</t>
  </si>
  <si>
    <t>Száraz1</t>
  </si>
  <si>
    <t>Száraz2</t>
  </si>
  <si>
    <t>Előkészítő</t>
  </si>
  <si>
    <t>Ellető istálló</t>
  </si>
  <si>
    <t>Frissen ellettek</t>
  </si>
  <si>
    <t>Tárolási veszteség (%)                                      =</t>
  </si>
  <si>
    <t>2 évesek</t>
  </si>
  <si>
    <t>3 éves vagy annál öregebb</t>
  </si>
  <si>
    <t>Nagytejű</t>
  </si>
  <si>
    <t>Közepes tejű</t>
  </si>
  <si>
    <t>Kistejű</t>
  </si>
  <si>
    <t>Nedvesség-tartalom (%)                       =</t>
  </si>
  <si>
    <t>Beteg tehén</t>
  </si>
  <si>
    <t>TEHENEK</t>
  </si>
  <si>
    <t>ÜSZŐK</t>
  </si>
  <si>
    <t>3-5 hónap</t>
  </si>
  <si>
    <t>6-8 hónap</t>
  </si>
  <si>
    <t>9-12 hónap</t>
  </si>
  <si>
    <t>13-15 hónap</t>
  </si>
  <si>
    <t>16 hónap-ellésig</t>
  </si>
  <si>
    <t>Eredmények</t>
  </si>
  <si>
    <t>ÁTL.</t>
  </si>
  <si>
    <t>ÁLLOMÁNY ÖSSZ</t>
  </si>
  <si>
    <t>SILÓFAL</t>
  </si>
  <si>
    <t>SILÓ</t>
  </si>
  <si>
    <t>SILÓTEREK</t>
  </si>
  <si>
    <t>SILÓTÉR</t>
  </si>
  <si>
    <t>BETÁROLT</t>
  </si>
  <si>
    <t>TAK.</t>
  </si>
  <si>
    <t>%</t>
  </si>
  <si>
    <t>MAGAS.</t>
  </si>
  <si>
    <t>SZÉL.</t>
  </si>
  <si>
    <t>SZÁMA</t>
  </si>
  <si>
    <t>HOSSZ</t>
  </si>
  <si>
    <t>VESZT.</t>
  </si>
  <si>
    <t>SZA VESZT.</t>
  </si>
  <si>
    <t>( Tonna SZA.)</t>
  </si>
  <si>
    <t>(Tonna SZA.)</t>
  </si>
  <si>
    <t>Professor and Extension Specialist, Retired</t>
  </si>
  <si>
    <t>A silótér max. hossza ( 45,75 m)                     =</t>
  </si>
  <si>
    <t>Tömörség (min.  705 kg/m3)               =</t>
  </si>
  <si>
    <t>Tömegtakarmány típusa (széna, kukorica, zab &amp; borsó ):</t>
  </si>
  <si>
    <t>==================================================================================================================================================================</t>
  </si>
  <si>
    <t>=======================================</t>
  </si>
  <si>
    <t xml:space="preserve">  -----------------  font sza/állat-nap   -----------------</t>
  </si>
  <si>
    <t xml:space="preserve">  -----------------  font sza/állat-nap --------------</t>
  </si>
  <si>
    <t xml:space="preserve">SILAGE DRY MATTER CALCULATOR </t>
  </si>
  <si>
    <r>
      <t>SILAGE DRY MATTER CALCULATOR</t>
    </r>
    <r>
      <rPr>
        <sz val="10"/>
        <rFont val="Helv"/>
      </rPr>
      <t xml:space="preserve"> </t>
    </r>
  </si>
  <si>
    <t>Kitermelés gyakorisága (min.  0.15 m/nap)             =</t>
  </si>
  <si>
    <t>A tömörítő traktor maximális szélessége (meters) =</t>
  </si>
  <si>
    <t xml:space="preserve">     Lépjen az E17 cellára , majd gördítse le</t>
  </si>
  <si>
    <t>Választott takarmány a táblázatból</t>
  </si>
  <si>
    <t>Az állomány napi takarmányszükséglete  (kg sza./állomány/nap)  =</t>
  </si>
  <si>
    <t>Tárolás időtartama (nap)                                =</t>
  </si>
  <si>
    <t>A felhasználónak a sárga hátterű kék adatokat kell begépelni</t>
  </si>
  <si>
    <t>*Tömegtakarmány veszteség: a tárolási veszteség és a kitárolás veszteség összege (fennt)  3.7 méter falmagasság esetében, valamint  a silófal kitermelésének vesztesége.</t>
  </si>
  <si>
    <t>A veszteség nagyobb lesz, ha a fal meghaladja a a 12 láb magasságot. Vagy kisebb, attól függően, hogy milyen a silótető kezelése és hatása.</t>
  </si>
  <si>
    <t>Összesen</t>
  </si>
  <si>
    <t>csoportonként</t>
  </si>
  <si>
    <t>létszám</t>
  </si>
  <si>
    <t>Állat</t>
  </si>
  <si>
    <t>összesen</t>
  </si>
  <si>
    <t xml:space="preserve">Szilázs szárazanyag-szükséglet kalkulátor </t>
  </si>
  <si>
    <t>(méter)</t>
  </si>
  <si>
    <t>maradék</t>
  </si>
  <si>
    <t>töltés</t>
  </si>
  <si>
    <t>Kirátolás (incs/nap) =</t>
  </si>
  <si>
    <t>Tömörség (eredeti anyag font/köbláb) =</t>
  </si>
  <si>
    <t>Szárazanyag (%) =</t>
  </si>
  <si>
    <t>Sza. tömörség (font sza./köbláb) =</t>
  </si>
  <si>
    <t>Porozitás =</t>
  </si>
  <si>
    <t>Sza tömörség @ 40 fotn erdeti anyag/köbláb (fotn sza./köbláb) =</t>
  </si>
  <si>
    <t>Porozitás @ 40 fotn eredeti anyag/köbláb =</t>
  </si>
  <si>
    <r>
      <t xml:space="preserve">CALCULADOR DE LA MATERIA SECA DEL ENSILAJE </t>
    </r>
    <r>
      <rPr>
        <sz val="10"/>
        <rFont val="Helv"/>
      </rPr>
      <t xml:space="preserve"> (los totales del hato de este Cuadro NO se pasan Automaticamente a la Necesidad de Alimento Diaria del Hato en la seccion de </t>
    </r>
    <r>
      <rPr>
        <b/>
        <sz val="10"/>
        <rFont val="Helv"/>
      </rPr>
      <t>ENTRADA</t>
    </r>
    <r>
      <rPr>
        <sz val="10"/>
        <rFont val="Helv"/>
      </rPr>
      <t>)</t>
    </r>
  </si>
  <si>
    <r>
      <t xml:space="preserve">РАСЧЕТ СУХОГО ВЕЩЕСТВА СИЛОСА </t>
    </r>
    <r>
      <rPr>
        <sz val="9"/>
        <rFont val="Helv"/>
      </rPr>
      <t>(общие данные по стаду НЕ переносятся в строку Суточная потребность стада в кормах в разделе ВВОДНЫЕ ДАННЫЕ)</t>
    </r>
  </si>
  <si>
    <r>
      <t>CÁLCULO DE MATÉRIA SECA DA SILAGEM</t>
    </r>
    <r>
      <rPr>
        <sz val="10"/>
        <rFont val="Helv"/>
      </rPr>
      <t xml:space="preserve"> (o total do rebanho NÃO é transferido automaticamente para o Requerimento Nutricional Diário do Rebanho na seção ENTRADA DE DADOS)</t>
    </r>
  </si>
  <si>
    <t xml:space="preserve">           da Remocao do silo ate o final do fornecimento, incluindo perdas por Rejeicao</t>
  </si>
  <si>
    <t>Feeding Loss (%)                                      =</t>
  </si>
  <si>
    <t xml:space="preserve">           Feed Removal through Refusal</t>
  </si>
  <si>
    <t>Az én szilázsom</t>
  </si>
  <si>
    <t xml:space="preserve">          Takarmányvisszautasításból származó veszteség</t>
  </si>
  <si>
    <t>Takarmányveszteség (%)    =</t>
  </si>
  <si>
    <r>
      <t>DISEÑANDO UN SILO DE TRINCHERA - Version en Sistema M</t>
    </r>
    <r>
      <rPr>
        <b/>
        <sz val="10"/>
        <color indexed="10"/>
        <rFont val="Calibri"/>
        <family val="2"/>
      </rPr>
      <t>é</t>
    </r>
    <r>
      <rPr>
        <b/>
        <sz val="10"/>
        <color indexed="10"/>
        <rFont val="Helv"/>
      </rPr>
      <t>trico</t>
    </r>
  </si>
  <si>
    <t>Dept. Ingenieria de Sistemas Biológicos</t>
  </si>
  <si>
    <r>
      <t xml:space="preserve">CALCULADOR DE LA NECESIDAD DE TON DE MATERIA SECA DE ENSILAJE </t>
    </r>
    <r>
      <rPr>
        <sz val="10"/>
        <rFont val="Helv"/>
      </rPr>
      <t xml:space="preserve"> </t>
    </r>
  </si>
  <si>
    <t>Rellenar con el promedio mensual o anual</t>
  </si>
  <si>
    <t>----------------------------  Kg MS/ANIMAL-DIA    -----------------------------</t>
  </si>
  <si>
    <t>--------------------------  Kg MS/GRUPO-DIA    ---------------------------</t>
  </si>
  <si>
    <r>
      <rPr>
        <b/>
        <sz val="10"/>
        <rFont val="Helv"/>
      </rPr>
      <t xml:space="preserve">Las celdas que el Usuario debe llenar son las que estan con palabras y números de color  </t>
    </r>
    <r>
      <rPr>
        <b/>
        <sz val="10"/>
        <color indexed="12"/>
        <rFont val="Helv"/>
      </rPr>
      <t>Azul</t>
    </r>
    <r>
      <rPr>
        <b/>
        <sz val="10"/>
        <rFont val="Helv"/>
      </rPr>
      <t xml:space="preserve"> con fondo amarillo</t>
    </r>
  </si>
  <si>
    <t>Informacion de  Entrada</t>
  </si>
  <si>
    <t>VACAS SECAS</t>
  </si>
  <si>
    <t>En Transición</t>
  </si>
  <si>
    <t>Secas 1</t>
  </si>
  <si>
    <t>Secas 2</t>
  </si>
  <si>
    <t>Tipo de Forraje  (alfalfa, maiz, avena, vicias etc):</t>
  </si>
  <si>
    <t xml:space="preserve">Hacer click en la Celda E17, después en la flecha hacia abajo </t>
  </si>
  <si>
    <t>Pre-Parto</t>
  </si>
  <si>
    <t>seleccionar el alimento que aparece en el cuadro</t>
  </si>
  <si>
    <t>Necesidad Diaria de Alimento para el Hato (Consumo MS Kg/Rebaño/Día)  =</t>
  </si>
  <si>
    <t>VACAS EN LECHE</t>
  </si>
  <si>
    <t>Recién Paridas</t>
  </si>
  <si>
    <t>Perdidas durante el proceso de Ensilado (%)                                      =</t>
  </si>
  <si>
    <t xml:space="preserve">          Del Llenado al Tapado</t>
  </si>
  <si>
    <t>Perdidas al  Alimentar (%)                                      =</t>
  </si>
  <si>
    <t xml:space="preserve">           Del Silo al Rechazo en Comederos</t>
  </si>
  <si>
    <r>
      <t>Peso de un metro cúbico del material ensilado (705 Kg/m</t>
    </r>
    <r>
      <rPr>
        <vertAlign val="superscript"/>
        <sz val="10"/>
        <rFont val="Helv"/>
      </rPr>
      <t>3</t>
    </r>
    <r>
      <rPr>
        <sz val="10"/>
        <rFont val="Helv"/>
      </rPr>
      <t>)               =</t>
    </r>
  </si>
  <si>
    <t xml:space="preserve">  (100 menos % de Materia Seca)</t>
  </si>
  <si>
    <t>Velocidad de Extracción, ancho del corte (min. 0,15 m/día)             =</t>
  </si>
  <si>
    <t>16 meses-recién paridas</t>
  </si>
  <si>
    <t xml:space="preserve">de MS </t>
  </si>
  <si>
    <t>PORCENTAJE</t>
  </si>
  <si>
    <t>REBAÑO TOTAL (Kg MS/rebaño/dia)</t>
  </si>
  <si>
    <t>TRINCHERA</t>
  </si>
  <si>
    <t>Rechazo</t>
  </si>
  <si>
    <t>(Ton MS)</t>
  </si>
  <si>
    <t>* Perdidas MS es la suma de la MS del Forraje perdida durante el Llenado y Alimentacion (Anotadas arriba) a 3,66 metros de altura de la pared mas las perdidas en la cara frontal del silo.</t>
  </si>
  <si>
    <t>Con alturas de pared menores a 3,66 m las perdidas seran mayores debido al efecto del aumento area de la superficie superior del silo.</t>
  </si>
  <si>
    <r>
      <t xml:space="preserve">8/15/2009 </t>
    </r>
    <r>
      <rPr>
        <b/>
        <sz val="10"/>
        <rFont val="Helv"/>
      </rPr>
      <t>Edited 6-25-15</t>
    </r>
  </si>
  <si>
    <t>===============================================================================================================================================================</t>
  </si>
  <si>
    <t>DÉTERMINER LES DIMENSIONS D'UN SILO COULOIR</t>
  </si>
  <si>
    <t>8/15/2009 Modifié 25/01/2018</t>
  </si>
  <si>
    <t>Ingénieur agronome et professeur</t>
  </si>
  <si>
    <t xml:space="preserve">Dép. d'ingénierie des systèmes biologiques </t>
  </si>
  <si>
    <t xml:space="preserve">CALCUL DE LA MATIÈRE SÈCHE DE L'ENSILAGE  </t>
  </si>
  <si>
    <t>Ensilage 1</t>
  </si>
  <si>
    <t>Ensilage 2</t>
  </si>
  <si>
    <t>Ensilage 3</t>
  </si>
  <si>
    <t>Ensilage</t>
  </si>
  <si>
    <t>Nombre</t>
  </si>
  <si>
    <t>de maïs</t>
  </si>
  <si>
    <t>par</t>
  </si>
  <si>
    <t>Groupes</t>
  </si>
  <si>
    <t>groupe</t>
  </si>
  <si>
    <r>
      <t xml:space="preserve">Les </t>
    </r>
    <r>
      <rPr>
        <sz val="10"/>
        <color rgb="FF0000FF"/>
        <rFont val="Helv"/>
      </rPr>
      <t xml:space="preserve">valeurs en bleu </t>
    </r>
    <r>
      <rPr>
        <sz val="10"/>
        <rFont val="Helv"/>
      </rPr>
      <t>sur fond jaune sont celles que l’utilisateur doit entrer</t>
    </r>
  </si>
  <si>
    <t>INFORMATIONS À ENTRER</t>
  </si>
  <si>
    <t>Taries</t>
  </si>
  <si>
    <t xml:space="preserve"> =</t>
  </si>
  <si>
    <t>Tarie1</t>
  </si>
  <si>
    <t>Tarie2</t>
  </si>
  <si>
    <t>Type de fourrage (foin, maïs, avoine et pois fourrager, etc.):</t>
  </si>
  <si>
    <t>Cliquez sur la cellulle E17, puis sur la flèche.</t>
  </si>
  <si>
    <t>Préparation vêlage</t>
  </si>
  <si>
    <t>Sélectionnez l'aliment dans le menu.</t>
  </si>
  <si>
    <t xml:space="preserve">Besoin alimentaire quotidien du troupeau (kg de MS/ troupeau/ jour)  </t>
  </si>
  <si>
    <t>En gestation</t>
  </si>
  <si>
    <t>Fraîches</t>
  </si>
  <si>
    <t xml:space="preserve">Perte liée à l'entreposage (%)                                       </t>
  </si>
  <si>
    <t xml:space="preserve">           Du remplissage jusqu'à l'entreposage</t>
  </si>
  <si>
    <t>Deux ans</t>
  </si>
  <si>
    <t>Taux de reprise quotidien (m/jour) =</t>
  </si>
  <si>
    <t xml:space="preserve">Perte liée à la distribution d'aliment (%)                                                  </t>
  </si>
  <si>
    <r>
      <t>Masse volumique (kg TQS/m</t>
    </r>
    <r>
      <rPr>
        <vertAlign val="superscript"/>
        <sz val="8"/>
        <color theme="0"/>
        <rFont val="Verdana"/>
        <family val="2"/>
      </rPr>
      <t>3</t>
    </r>
    <r>
      <rPr>
        <sz val="8"/>
        <color theme="0"/>
        <rFont val="Verdana"/>
        <family val="2"/>
      </rPr>
      <t>) =</t>
    </r>
  </si>
  <si>
    <t>Trois ans et plus</t>
  </si>
  <si>
    <t xml:space="preserve">         du prélèvement jusqu'au refus à la mangeoire</t>
  </si>
  <si>
    <t>MS (%) =</t>
  </si>
  <si>
    <t>Fortes productrices</t>
  </si>
  <si>
    <r>
      <t>Densité de MS (kg MS/m</t>
    </r>
    <r>
      <rPr>
        <vertAlign val="superscript"/>
        <sz val="8"/>
        <color theme="0"/>
        <rFont val="Verdana"/>
        <family val="2"/>
      </rPr>
      <t>3</t>
    </r>
    <r>
      <rPr>
        <sz val="8"/>
        <color theme="0"/>
        <rFont val="Verdana"/>
        <family val="2"/>
      </rPr>
      <t>) =</t>
    </r>
  </si>
  <si>
    <t>Moyennes productrices</t>
  </si>
  <si>
    <t xml:space="preserve">Densité d’ensilage humide (705 kg/ m3)                               </t>
  </si>
  <si>
    <t>Porosité =</t>
  </si>
  <si>
    <t>Faibles productrices</t>
  </si>
  <si>
    <r>
      <t>Densité de MS @ 705 kg TQS/m</t>
    </r>
    <r>
      <rPr>
        <vertAlign val="superscript"/>
        <sz val="8"/>
        <color theme="0"/>
        <rFont val="Verdana"/>
        <family val="2"/>
      </rPr>
      <t>3</t>
    </r>
    <r>
      <rPr>
        <sz val="8"/>
        <color theme="0"/>
        <rFont val="Verdana"/>
        <family val="2"/>
      </rPr>
      <t xml:space="preserve"> (kg MS/m</t>
    </r>
    <r>
      <rPr>
        <vertAlign val="superscript"/>
        <sz val="8"/>
        <color theme="0"/>
        <rFont val="Verdana"/>
        <family val="2"/>
      </rPr>
      <t>3</t>
    </r>
    <r>
      <rPr>
        <sz val="8"/>
        <color theme="0"/>
        <rFont val="Verdana"/>
        <family val="2"/>
      </rPr>
      <t>) =</t>
    </r>
  </si>
  <si>
    <t xml:space="preserve">Teneur en eau de l’ensilage (%)                                   </t>
  </si>
  <si>
    <r>
      <t>Porosité @ 705 kg TQS/m</t>
    </r>
    <r>
      <rPr>
        <vertAlign val="superscript"/>
        <sz val="8"/>
        <color theme="0"/>
        <rFont val="Verdana"/>
        <family val="2"/>
      </rPr>
      <t>3</t>
    </r>
    <r>
      <rPr>
        <sz val="8"/>
        <color theme="0"/>
        <rFont val="Verdana"/>
        <family val="2"/>
      </rPr>
      <t xml:space="preserve"> =</t>
    </r>
  </si>
  <si>
    <t>Vaches malades</t>
  </si>
  <si>
    <t xml:space="preserve">Taux de reprise quotidien  (min. 0,15 m/ jour)            </t>
  </si>
  <si>
    <t>MATURES</t>
  </si>
  <si>
    <t xml:space="preserve">Durée d’entreposage (jours)                                                 </t>
  </si>
  <si>
    <t>Génisses</t>
  </si>
  <si>
    <t>3-5 mois</t>
  </si>
  <si>
    <t xml:space="preserve">Profondeur maximale du silo couloir (46 m)                     </t>
  </si>
  <si>
    <t>6-8 mois</t>
  </si>
  <si>
    <t xml:space="preserve">     pour des murs d'environ 3 mètres de haut</t>
  </si>
  <si>
    <t>9-12 mois</t>
  </si>
  <si>
    <t>13-15 mois</t>
  </si>
  <si>
    <r>
      <t>16 mois- 1</t>
    </r>
    <r>
      <rPr>
        <vertAlign val="superscript"/>
        <sz val="10"/>
        <rFont val="Helv"/>
      </rPr>
      <t>ère</t>
    </r>
    <r>
      <rPr>
        <sz val="10"/>
        <rFont val="Helv"/>
      </rPr>
      <t xml:space="preserve"> lactation</t>
    </r>
  </si>
  <si>
    <t>RÉSULTATS</t>
  </si>
  <si>
    <t>=================</t>
  </si>
  <si>
    <t>GÉNISSES</t>
  </si>
  <si>
    <t>HAUTEUR</t>
  </si>
  <si>
    <t>LARGEUR</t>
  </si>
  <si>
    <t>NOMBRE</t>
  </si>
  <si>
    <t>PROFONDEUR</t>
  </si>
  <si>
    <t>FOURRAGE</t>
  </si>
  <si>
    <t xml:space="preserve">PERTE </t>
  </si>
  <si>
    <t xml:space="preserve">% de MS </t>
  </si>
  <si>
    <t>des MURS</t>
  </si>
  <si>
    <t>MOYENNE</t>
  </si>
  <si>
    <t>des SILOS COULOIR</t>
  </si>
  <si>
    <t>ENTREPOSÉ</t>
  </si>
  <si>
    <t>de FOURRAGE</t>
  </si>
  <si>
    <t>PERDU</t>
  </si>
  <si>
    <t>SILOS COULOIR</t>
  </si>
  <si>
    <t>Du remplissage</t>
  </si>
  <si>
    <t>TOTAL DU TROUPEAU  (Kg MS/ troupeau/ jour)</t>
  </si>
  <si>
    <t>jusqu'au refus</t>
  </si>
  <si>
    <t>(m)</t>
  </si>
  <si>
    <t>==================</t>
  </si>
  <si>
    <t>* La perte de fourrage est la somme des pertes liées à l'entreposage et des pertes liées à la distribution d'aliment (entrées plus haut) lorsque la hauteur des murs est de 3,7 mètres .</t>
  </si>
  <si>
    <t>Les pertes seront plus importantes si les murs sont moins de 3,7 mètres de haut. Elles seront moindres si leur hauteur est plus élevée, et ce en raison d'une moins grande surface exposée à l'oxygène.</t>
  </si>
  <si>
    <t>Mon ensilage</t>
  </si>
  <si>
    <t>Largeur maximale du tracteur de compactage</t>
  </si>
  <si>
    <t>---------------  Kg MS/ TÊTE/ JOUR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</si>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</sst>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_)"/>
    <numFmt numFmtId="165" formatCode="0_)"/>
    <numFmt numFmtId="166" formatCode="0.0_)"/>
    <numFmt numFmtId="167" formatCode="[$-409]mmmm\ d\,\ yyyy;@"/>
    <numFmt numFmtId="168" formatCode="#,##0.0"/>
    <numFmt numFmtId="169" formatCode="0.000"/>
    <numFmt numFmtId="170" formatCode="[$-416]d\ \ mmmm\,\ yyyy;@"/>
    <numFmt numFmtId="171" formatCode="0.0"/>
  </numFmts>
  <fonts count="37">
    <font>
      <sz val="10"/>
      <name val="Helv"/>
    </font>
    <font>
      <sz val="10"/>
      <color indexed="12"/>
      <name val="Helv"/>
    </font>
    <font>
      <sz val="10"/>
      <color indexed="10"/>
      <name val="Helv"/>
    </font>
    <font>
      <sz val="8"/>
      <name val="Helv"/>
    </font>
    <font>
      <sz val="10"/>
      <name val="Helv"/>
    </font>
    <font>
      <u/>
      <sz val="10"/>
      <color indexed="12"/>
      <name val="Helv"/>
    </font>
    <font>
      <b/>
      <sz val="10"/>
      <name val="Helv"/>
    </font>
    <font>
      <sz val="10"/>
      <color indexed="8"/>
      <name val="Helv"/>
    </font>
    <font>
      <b/>
      <sz val="10"/>
      <color indexed="10"/>
      <name val="Helv"/>
    </font>
    <font>
      <sz val="9"/>
      <name val="Helv"/>
    </font>
    <font>
      <sz val="9"/>
      <color indexed="10"/>
      <name val="Helv"/>
    </font>
    <font>
      <b/>
      <sz val="10"/>
      <color indexed="12"/>
      <name val="Helv"/>
    </font>
    <font>
      <b/>
      <sz val="8"/>
      <name val="Helv"/>
    </font>
    <font>
      <sz val="10"/>
      <color rgb="FF0000FF"/>
      <name val="Helv"/>
    </font>
    <font>
      <sz val="10"/>
      <color rgb="FFFF0000"/>
      <name val="Helv"/>
    </font>
    <font>
      <sz val="10"/>
      <color rgb="FF451CF4"/>
      <name val="Helv"/>
    </font>
    <font>
      <sz val="10"/>
      <name val="Calibri"/>
      <family val="2"/>
    </font>
    <font>
      <b/>
      <sz val="10"/>
      <color indexed="10"/>
      <name val="Calibri"/>
      <family val="2"/>
    </font>
    <font>
      <sz val="11"/>
      <color rgb="FF1F497D"/>
      <name val="Calibri"/>
      <family val="2"/>
    </font>
    <font>
      <b/>
      <sz val="10"/>
      <color rgb="FFFF0000"/>
      <name val="Helv"/>
    </font>
    <font>
      <sz val="8"/>
      <color theme="0"/>
      <name val="Verdana"/>
      <family val="2"/>
    </font>
    <font>
      <sz val="8"/>
      <color theme="0"/>
      <name val="Helv"/>
    </font>
    <font>
      <sz val="10"/>
      <color theme="0"/>
      <name val="Helv"/>
    </font>
    <font>
      <b/>
      <sz val="10"/>
      <color theme="0"/>
      <name val="Verdana"/>
      <family val="2"/>
    </font>
    <font>
      <sz val="10"/>
      <name val="Helv"/>
      <charset val="238"/>
    </font>
    <font>
      <sz val="10"/>
      <color indexed="12"/>
      <name val="Helv"/>
      <charset val="238"/>
    </font>
    <font>
      <sz val="10"/>
      <color indexed="10"/>
      <name val="Helv"/>
      <charset val="238"/>
    </font>
    <font>
      <sz val="10"/>
      <color theme="1"/>
      <name val="Helv"/>
      <charset val="238"/>
    </font>
    <font>
      <sz val="10"/>
      <color rgb="FFFF0000"/>
      <name val="Helv"/>
      <charset val="238"/>
    </font>
    <font>
      <b/>
      <sz val="14"/>
      <name val="Helv"/>
    </font>
    <font>
      <b/>
      <sz val="16"/>
      <color rgb="FFFF0000"/>
      <name val="Helv"/>
      <charset val="238"/>
    </font>
    <font>
      <b/>
      <sz val="12"/>
      <name val="Helv"/>
    </font>
    <font>
      <sz val="12"/>
      <name val="Helv"/>
    </font>
    <font>
      <sz val="12"/>
      <name val="Arial"/>
      <family val="2"/>
    </font>
    <font>
      <vertAlign val="superscript"/>
      <sz val="10"/>
      <name val="Helv"/>
    </font>
    <font>
      <b/>
      <sz val="10"/>
      <color theme="1"/>
      <name val="Helv"/>
    </font>
    <font>
      <vertAlign val="superscript"/>
      <sz val="8"/>
      <color theme="0"/>
      <name val="Verdana"/>
      <family val="2"/>
    </font>
  </fonts>
  <fills count="13">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rgb="FFFFCC99"/>
        <bgColor indexed="64"/>
      </patternFill>
    </fill>
    <fill>
      <patternFill patternType="solid">
        <fgColor rgb="FFFF99CC"/>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39994506668294322"/>
        <bgColor indexed="64"/>
      </patternFill>
    </fill>
    <fill>
      <patternFill patternType="solid">
        <fgColor rgb="FFCC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24" fillId="0" borderId="0"/>
  </cellStyleXfs>
  <cellXfs count="229">
    <xf numFmtId="0" fontId="0" fillId="0" borderId="0" xfId="0"/>
    <xf numFmtId="164" fontId="0" fillId="0" borderId="0" xfId="0" applyNumberFormat="1" applyProtection="1"/>
    <xf numFmtId="165" fontId="0" fillId="0" borderId="0" xfId="0" applyNumberFormat="1" applyProtection="1"/>
    <xf numFmtId="166" fontId="0" fillId="0" borderId="0" xfId="0" applyNumberFormat="1" applyProtection="1"/>
    <xf numFmtId="0" fontId="0" fillId="0" borderId="0" xfId="0" applyAlignment="1">
      <alignment horizontal="fill"/>
    </xf>
    <xf numFmtId="0" fontId="2" fillId="0" borderId="0" xfId="0" applyFont="1" applyProtection="1"/>
    <xf numFmtId="0" fontId="5" fillId="0" borderId="0" xfId="1" applyAlignment="1" applyProtection="1"/>
    <xf numFmtId="167" fontId="0" fillId="0" borderId="0" xfId="0" applyNumberFormat="1" applyProtection="1"/>
    <xf numFmtId="165" fontId="0" fillId="2" borderId="0" xfId="0" applyNumberFormat="1" applyFill="1" applyProtection="1"/>
    <xf numFmtId="166" fontId="0" fillId="2" borderId="0" xfId="0" applyNumberFormat="1" applyFill="1" applyProtection="1"/>
    <xf numFmtId="0" fontId="0" fillId="2" borderId="0" xfId="0" applyFill="1"/>
    <xf numFmtId="0" fontId="1" fillId="3" borderId="0" xfId="0" applyFont="1" applyFill="1" applyProtection="1">
      <protection locked="0"/>
    </xf>
    <xf numFmtId="166" fontId="1" fillId="3" borderId="0" xfId="0" applyNumberFormat="1" applyFont="1" applyFill="1" applyProtection="1">
      <protection locked="0"/>
    </xf>
    <xf numFmtId="0" fontId="6" fillId="4" borderId="0" xfId="0" applyFont="1" applyFill="1"/>
    <xf numFmtId="164" fontId="0" fillId="4" borderId="0" xfId="0" applyNumberFormat="1" applyFill="1" applyProtection="1"/>
    <xf numFmtId="165" fontId="0" fillId="4" borderId="0" xfId="0" applyNumberFormat="1" applyFill="1" applyProtection="1"/>
    <xf numFmtId="166" fontId="0" fillId="4" borderId="0" xfId="0" applyNumberFormat="1" applyFill="1" applyProtection="1"/>
    <xf numFmtId="0" fontId="0" fillId="4" borderId="0" xfId="0" applyFill="1"/>
    <xf numFmtId="0" fontId="0" fillId="4" borderId="0" xfId="0" applyFill="1" applyAlignment="1">
      <alignment horizontal="fill"/>
    </xf>
    <xf numFmtId="164" fontId="0" fillId="4" borderId="0" xfId="0" applyNumberFormat="1" applyFill="1" applyAlignment="1" applyProtection="1">
      <alignment horizontal="fill"/>
    </xf>
    <xf numFmtId="165" fontId="0" fillId="4" borderId="0" xfId="0" applyNumberFormat="1" applyFill="1" applyAlignment="1" applyProtection="1">
      <alignment horizontal="fill"/>
    </xf>
    <xf numFmtId="166" fontId="0" fillId="4" borderId="0" xfId="0" applyNumberFormat="1" applyFill="1" applyAlignment="1" applyProtection="1">
      <alignment horizontal="fill"/>
    </xf>
    <xf numFmtId="166" fontId="0" fillId="4" borderId="0" xfId="0" applyNumberFormat="1" applyFill="1" applyAlignment="1" applyProtection="1">
      <alignment horizontal="right"/>
    </xf>
    <xf numFmtId="0" fontId="0" fillId="4" borderId="0" xfId="0" applyFill="1" applyAlignment="1">
      <alignment horizontal="right"/>
    </xf>
    <xf numFmtId="0" fontId="4" fillId="4" borderId="0" xfId="0" applyFont="1" applyFill="1"/>
    <xf numFmtId="0" fontId="2" fillId="4" borderId="0" xfId="0" applyFont="1" applyFill="1" applyProtection="1"/>
    <xf numFmtId="0" fontId="6" fillId="2" borderId="0" xfId="0" applyFont="1" applyFill="1"/>
    <xf numFmtId="164" fontId="0" fillId="2" borderId="0" xfId="0" applyNumberFormat="1" applyFill="1" applyProtection="1"/>
    <xf numFmtId="0" fontId="0" fillId="2" borderId="0" xfId="0" applyFill="1" applyAlignment="1">
      <alignment horizontal="fill"/>
    </xf>
    <xf numFmtId="164" fontId="0" fillId="2" borderId="0" xfId="0" applyNumberFormat="1" applyFill="1" applyAlignment="1" applyProtection="1">
      <alignment horizontal="fill"/>
    </xf>
    <xf numFmtId="165" fontId="0" fillId="2" borderId="0" xfId="0" applyNumberFormat="1" applyFill="1" applyAlignment="1" applyProtection="1">
      <alignment horizontal="fill"/>
    </xf>
    <xf numFmtId="166" fontId="0" fillId="2" borderId="0" xfId="0" applyNumberFormat="1" applyFill="1" applyAlignment="1" applyProtection="1">
      <alignment horizontal="fill"/>
    </xf>
    <xf numFmtId="166" fontId="1" fillId="2" borderId="0" xfId="0" applyNumberFormat="1" applyFont="1" applyFill="1" applyProtection="1">
      <protection locked="0"/>
    </xf>
    <xf numFmtId="0" fontId="0" fillId="2" borderId="0" xfId="0" quotePrefix="1" applyFill="1" applyAlignment="1">
      <alignment horizontal="fill"/>
    </xf>
    <xf numFmtId="0" fontId="0" fillId="0" borderId="0" xfId="0" applyFill="1" applyAlignment="1">
      <alignment horizontal="fill"/>
    </xf>
    <xf numFmtId="0" fontId="0" fillId="0" borderId="0" xfId="0" applyFill="1"/>
    <xf numFmtId="0" fontId="6" fillId="5" borderId="0" xfId="0" applyFont="1" applyFill="1"/>
    <xf numFmtId="0" fontId="0" fillId="5" borderId="0" xfId="0" applyFill="1"/>
    <xf numFmtId="0" fontId="0" fillId="5" borderId="0" xfId="0" applyFill="1" applyAlignment="1">
      <alignment horizontal="fill"/>
    </xf>
    <xf numFmtId="0" fontId="0" fillId="5" borderId="0" xfId="0" quotePrefix="1" applyFill="1"/>
    <xf numFmtId="0" fontId="0" fillId="5" borderId="0" xfId="0" applyFill="1" applyAlignment="1">
      <alignment horizontal="right"/>
    </xf>
    <xf numFmtId="165" fontId="0" fillId="5" borderId="0" xfId="0" applyNumberFormat="1" applyFill="1" applyProtection="1"/>
    <xf numFmtId="0" fontId="1" fillId="5" borderId="0" xfId="0" applyFont="1" applyFill="1" applyProtection="1"/>
    <xf numFmtId="0" fontId="1" fillId="5" borderId="0" xfId="0" applyFont="1" applyFill="1" applyProtection="1">
      <protection locked="0"/>
    </xf>
    <xf numFmtId="166" fontId="0" fillId="0" borderId="0" xfId="0" applyNumberFormat="1" applyFill="1" applyProtection="1"/>
    <xf numFmtId="0" fontId="8" fillId="0" borderId="0" xfId="0" applyFont="1"/>
    <xf numFmtId="0" fontId="4" fillId="2" borderId="0" xfId="0" applyFont="1" applyFill="1"/>
    <xf numFmtId="165" fontId="0" fillId="4" borderId="0" xfId="0" applyNumberFormat="1" applyFill="1" applyAlignment="1" applyProtection="1">
      <alignment horizontal="right"/>
    </xf>
    <xf numFmtId="0" fontId="0" fillId="2" borderId="0" xfId="0" applyFill="1" applyAlignment="1">
      <alignment horizontal="right"/>
    </xf>
    <xf numFmtId="0" fontId="9" fillId="5" borderId="0" xfId="0" applyFont="1" applyFill="1"/>
    <xf numFmtId="0" fontId="10" fillId="0" borderId="0" xfId="0" applyFont="1" applyProtection="1"/>
    <xf numFmtId="0" fontId="0" fillId="6" borderId="0" xfId="0" applyFill="1"/>
    <xf numFmtId="165" fontId="0" fillId="7" borderId="0" xfId="0" applyNumberFormat="1" applyFill="1" applyProtection="1"/>
    <xf numFmtId="166" fontId="0" fillId="8" borderId="0" xfId="0" applyNumberFormat="1" applyFill="1" applyProtection="1"/>
    <xf numFmtId="166" fontId="0" fillId="9" borderId="0" xfId="0" applyNumberFormat="1" applyFill="1" applyProtection="1"/>
    <xf numFmtId="0" fontId="0" fillId="9" borderId="0" xfId="0" applyFill="1"/>
    <xf numFmtId="0" fontId="0" fillId="7" borderId="0" xfId="0" applyFill="1"/>
    <xf numFmtId="165" fontId="0" fillId="7" borderId="0" xfId="0" applyNumberFormat="1" applyFill="1" applyAlignment="1" applyProtection="1">
      <alignment horizontal="fill"/>
    </xf>
    <xf numFmtId="0" fontId="6" fillId="0" borderId="0" xfId="0" applyFont="1"/>
    <xf numFmtId="0" fontId="6" fillId="7" borderId="0" xfId="0" applyFont="1" applyFill="1"/>
    <xf numFmtId="166" fontId="0" fillId="7" borderId="0" xfId="0" applyNumberFormat="1" applyFill="1" applyProtection="1"/>
    <xf numFmtId="166" fontId="11" fillId="10" borderId="1" xfId="0" applyNumberFormat="1" applyFont="1" applyFill="1" applyBorder="1" applyAlignment="1" applyProtection="1">
      <alignment horizontal="right"/>
      <protection locked="0" hidden="1"/>
    </xf>
    <xf numFmtId="166" fontId="13" fillId="3" borderId="0" xfId="0" applyNumberFormat="1" applyFont="1" applyFill="1" applyProtection="1">
      <protection locked="0"/>
    </xf>
    <xf numFmtId="168" fontId="13" fillId="10" borderId="0" xfId="0" applyNumberFormat="1" applyFont="1" applyFill="1" applyProtection="1">
      <protection locked="0"/>
    </xf>
    <xf numFmtId="165" fontId="2" fillId="4" borderId="0" xfId="0" applyNumberFormat="1" applyFont="1" applyFill="1" applyAlignment="1" applyProtection="1">
      <alignment horizontal="right"/>
    </xf>
    <xf numFmtId="166" fontId="2" fillId="4" borderId="0" xfId="0" applyNumberFormat="1" applyFont="1" applyFill="1" applyAlignment="1" applyProtection="1">
      <alignment horizontal="right"/>
    </xf>
    <xf numFmtId="166" fontId="2" fillId="4" borderId="0" xfId="0" applyNumberFormat="1" applyFont="1" applyFill="1" applyAlignment="1" applyProtection="1">
      <alignment horizontal="left"/>
    </xf>
    <xf numFmtId="0" fontId="6" fillId="4" borderId="0" xfId="0" applyFont="1" applyFill="1" applyAlignment="1">
      <alignment horizontal="right"/>
    </xf>
    <xf numFmtId="165" fontId="6" fillId="4" borderId="0" xfId="0" applyNumberFormat="1" applyFont="1" applyFill="1" applyAlignment="1" applyProtection="1">
      <alignment horizontal="right"/>
    </xf>
    <xf numFmtId="166" fontId="6" fillId="4" borderId="0" xfId="0" applyNumberFormat="1" applyFont="1" applyFill="1" applyAlignment="1" applyProtection="1">
      <alignment horizontal="right"/>
    </xf>
    <xf numFmtId="164" fontId="6" fillId="4" borderId="0" xfId="0" applyNumberFormat="1" applyFont="1" applyFill="1" applyAlignment="1" applyProtection="1">
      <alignment horizontal="right"/>
    </xf>
    <xf numFmtId="0" fontId="6" fillId="4" borderId="0" xfId="0" applyFont="1" applyFill="1" applyAlignment="1" applyProtection="1">
      <alignment horizontal="right"/>
    </xf>
    <xf numFmtId="166" fontId="12" fillId="4" borderId="0" xfId="0" applyNumberFormat="1" applyFont="1" applyFill="1" applyAlignment="1" applyProtection="1">
      <alignment horizontal="right"/>
    </xf>
    <xf numFmtId="170" fontId="6" fillId="0" borderId="0" xfId="0" applyNumberFormat="1" applyFont="1" applyProtection="1"/>
    <xf numFmtId="0" fontId="0" fillId="0" borderId="0" xfId="0" applyBorder="1"/>
    <xf numFmtId="0" fontId="0" fillId="9" borderId="0" xfId="0" applyFill="1" applyBorder="1"/>
    <xf numFmtId="166" fontId="1" fillId="2" borderId="0" xfId="0" applyNumberFormat="1" applyFont="1" applyFill="1" applyBorder="1" applyProtection="1">
      <protection locked="0"/>
    </xf>
    <xf numFmtId="168" fontId="13" fillId="10" borderId="0" xfId="0" applyNumberFormat="1" applyFont="1" applyFill="1" applyBorder="1" applyProtection="1">
      <protection locked="0"/>
    </xf>
    <xf numFmtId="0" fontId="0" fillId="0" borderId="0" xfId="0" applyFill="1" applyBorder="1"/>
    <xf numFmtId="0" fontId="0" fillId="0" borderId="0" xfId="0" applyFill="1" applyBorder="1" applyAlignment="1">
      <alignment horizontal="fill"/>
    </xf>
    <xf numFmtId="0" fontId="0" fillId="5" borderId="0" xfId="0" applyFill="1" applyAlignment="1">
      <alignment horizontal="left"/>
    </xf>
    <xf numFmtId="168" fontId="0" fillId="5" borderId="0" xfId="0" applyNumberFormat="1" applyFill="1"/>
    <xf numFmtId="166" fontId="0" fillId="0" borderId="0" xfId="0" applyNumberFormat="1" applyFill="1" applyBorder="1" applyProtection="1"/>
    <xf numFmtId="166" fontId="0" fillId="11" borderId="0" xfId="0" applyNumberFormat="1" applyFill="1" applyBorder="1" applyProtection="1"/>
    <xf numFmtId="0" fontId="6" fillId="0" borderId="0" xfId="0" applyFont="1" applyFill="1" applyBorder="1"/>
    <xf numFmtId="166" fontId="6" fillId="7" borderId="0" xfId="0" applyNumberFormat="1" applyFont="1" applyFill="1"/>
    <xf numFmtId="0" fontId="0" fillId="0" borderId="0" xfId="0" applyFill="1" applyAlignment="1">
      <alignment horizontal="right"/>
    </xf>
    <xf numFmtId="0" fontId="4" fillId="0" borderId="0" xfId="0" applyFont="1" applyFill="1" applyAlignment="1">
      <alignment horizontal="right"/>
    </xf>
    <xf numFmtId="166" fontId="2" fillId="0" borderId="0" xfId="0" applyNumberFormat="1" applyFont="1" applyFill="1" applyAlignment="1" applyProtection="1">
      <alignment horizontal="left"/>
    </xf>
    <xf numFmtId="165" fontId="0" fillId="0" borderId="0" xfId="0" applyNumberFormat="1" applyFill="1" applyAlignment="1" applyProtection="1">
      <alignment horizontal="right"/>
    </xf>
    <xf numFmtId="0" fontId="6" fillId="7" borderId="0" xfId="0" applyFont="1" applyFill="1" applyAlignment="1">
      <alignment horizontal="left"/>
    </xf>
    <xf numFmtId="0" fontId="18" fillId="6" borderId="0" xfId="0" applyFont="1" applyFill="1"/>
    <xf numFmtId="0" fontId="19" fillId="4" borderId="0" xfId="0" applyFont="1" applyFill="1" applyAlignment="1">
      <alignment horizontal="right"/>
    </xf>
    <xf numFmtId="165" fontId="0" fillId="4" borderId="0" xfId="0" applyNumberFormat="1" applyFont="1" applyFill="1" applyAlignment="1" applyProtection="1">
      <alignment horizontal="right"/>
    </xf>
    <xf numFmtId="2" fontId="0" fillId="0" borderId="0" xfId="0" applyNumberFormat="1"/>
    <xf numFmtId="165" fontId="2" fillId="0" borderId="0" xfId="0" applyNumberFormat="1" applyFont="1" applyFill="1" applyAlignment="1" applyProtection="1">
      <alignment horizontal="right"/>
    </xf>
    <xf numFmtId="2" fontId="2" fillId="0" borderId="0" xfId="0" applyNumberFormat="1" applyFont="1" applyFill="1" applyAlignment="1" applyProtection="1">
      <alignment horizontal="right"/>
    </xf>
    <xf numFmtId="0" fontId="0" fillId="0" borderId="0" xfId="0" quotePrefix="1" applyFill="1"/>
    <xf numFmtId="166" fontId="2" fillId="0" borderId="0" xfId="0" applyNumberFormat="1" applyFont="1" applyFill="1" applyAlignment="1" applyProtection="1">
      <alignment horizontal="right"/>
    </xf>
    <xf numFmtId="0" fontId="4" fillId="0" borderId="0" xfId="0" applyFont="1" applyFill="1"/>
    <xf numFmtId="165" fontId="0" fillId="0" borderId="0" xfId="0" applyNumberFormat="1" applyFill="1" applyProtection="1"/>
    <xf numFmtId="165" fontId="14" fillId="4" borderId="0" xfId="0" applyNumberFormat="1" applyFont="1" applyFill="1" applyAlignment="1" applyProtection="1">
      <alignment horizontal="right"/>
    </xf>
    <xf numFmtId="166" fontId="14" fillId="4" borderId="0" xfId="0" applyNumberFormat="1" applyFont="1" applyFill="1" applyAlignment="1" applyProtection="1">
      <alignment horizontal="right"/>
    </xf>
    <xf numFmtId="171" fontId="0" fillId="4" borderId="0" xfId="0" applyNumberFormat="1" applyFill="1" applyAlignment="1" applyProtection="1">
      <alignment horizontal="right"/>
    </xf>
    <xf numFmtId="171" fontId="14" fillId="4" borderId="0" xfId="0" applyNumberFormat="1" applyFont="1" applyFill="1" applyAlignment="1" applyProtection="1">
      <alignment horizontal="right"/>
    </xf>
    <xf numFmtId="171" fontId="0" fillId="4" borderId="0" xfId="0" applyNumberFormat="1" applyFont="1" applyFill="1" applyAlignment="1" applyProtection="1">
      <alignment horizontal="right"/>
    </xf>
    <xf numFmtId="0" fontId="25" fillId="10" borderId="0" xfId="2" applyFont="1" applyFill="1" applyProtection="1">
      <protection locked="0"/>
    </xf>
    <xf numFmtId="0" fontId="24" fillId="0" borderId="0" xfId="2"/>
    <xf numFmtId="164" fontId="24" fillId="0" borderId="0" xfId="2" applyNumberFormat="1" applyProtection="1"/>
    <xf numFmtId="165" fontId="24" fillId="0" borderId="0" xfId="2" applyNumberFormat="1" applyProtection="1"/>
    <xf numFmtId="166" fontId="24" fillId="0" borderId="0" xfId="2" applyNumberFormat="1" applyProtection="1"/>
    <xf numFmtId="0" fontId="24" fillId="0" borderId="0" xfId="2" applyAlignment="1">
      <alignment horizontal="fill"/>
    </xf>
    <xf numFmtId="0" fontId="26" fillId="0" borderId="0" xfId="2" applyFont="1" applyProtection="1"/>
    <xf numFmtId="166" fontId="25" fillId="10" borderId="0" xfId="2" applyNumberFormat="1" applyFont="1" applyFill="1" applyProtection="1">
      <protection locked="0"/>
    </xf>
    <xf numFmtId="167" fontId="24" fillId="0" borderId="0" xfId="2" applyNumberFormat="1" applyProtection="1"/>
    <xf numFmtId="166" fontId="24" fillId="7" borderId="0" xfId="2" applyNumberFormat="1" applyFill="1" applyProtection="1"/>
    <xf numFmtId="0" fontId="24" fillId="7" borderId="0" xfId="2" applyFill="1" applyAlignment="1">
      <alignment horizontal="fill"/>
    </xf>
    <xf numFmtId="164" fontId="24" fillId="7" borderId="0" xfId="2" applyNumberFormat="1" applyFill="1" applyProtection="1"/>
    <xf numFmtId="165" fontId="24" fillId="7" borderId="0" xfId="2" applyNumberFormat="1" applyFill="1" applyProtection="1"/>
    <xf numFmtId="166" fontId="25" fillId="7" borderId="0" xfId="2" applyNumberFormat="1" applyFont="1" applyFill="1" applyProtection="1">
      <protection locked="0"/>
    </xf>
    <xf numFmtId="166" fontId="1" fillId="7" borderId="0" xfId="0" applyNumberFormat="1" applyFont="1" applyFill="1" applyProtection="1">
      <protection locked="0"/>
    </xf>
    <xf numFmtId="166" fontId="11" fillId="10" borderId="1" xfId="0" applyNumberFormat="1" applyFont="1" applyFill="1" applyBorder="1" applyAlignment="1" applyProtection="1">
      <alignment horizontal="right"/>
      <protection locked="0"/>
    </xf>
    <xf numFmtId="166" fontId="28" fillId="0" borderId="0" xfId="2" applyNumberFormat="1" applyFont="1" applyProtection="1"/>
    <xf numFmtId="0" fontId="24" fillId="12" borderId="0" xfId="2" applyFill="1" applyAlignment="1">
      <alignment horizontal="fill"/>
    </xf>
    <xf numFmtId="164" fontId="24" fillId="12" borderId="0" xfId="2" applyNumberFormat="1" applyFill="1" applyAlignment="1" applyProtection="1">
      <alignment horizontal="fill"/>
    </xf>
    <xf numFmtId="165" fontId="24" fillId="12" borderId="0" xfId="2" applyNumberFormat="1" applyFill="1" applyAlignment="1" applyProtection="1">
      <alignment horizontal="fill"/>
    </xf>
    <xf numFmtId="166" fontId="24" fillId="12" borderId="0" xfId="2" applyNumberFormat="1" applyFill="1" applyAlignment="1" applyProtection="1">
      <alignment horizontal="fill"/>
    </xf>
    <xf numFmtId="0" fontId="24" fillId="12" borderId="0" xfId="2" applyFill="1" applyAlignment="1">
      <alignment horizontal="center"/>
    </xf>
    <xf numFmtId="0" fontId="24" fillId="12" borderId="0" xfId="2" applyFill="1"/>
    <xf numFmtId="164" fontId="24" fillId="12" borderId="0" xfId="2" applyNumberFormat="1" applyFill="1" applyAlignment="1" applyProtection="1">
      <alignment horizontal="center"/>
    </xf>
    <xf numFmtId="165" fontId="24" fillId="12" borderId="0" xfId="2" applyNumberFormat="1" applyFill="1" applyAlignment="1" applyProtection="1">
      <alignment horizontal="center"/>
    </xf>
    <xf numFmtId="166" fontId="24" fillId="12" borderId="0" xfId="2" applyNumberFormat="1" applyFill="1" applyAlignment="1" applyProtection="1">
      <alignment horizontal="center"/>
    </xf>
    <xf numFmtId="0" fontId="24" fillId="12" borderId="0" xfId="2" applyFill="1" applyAlignment="1" applyProtection="1">
      <alignment horizontal="center"/>
    </xf>
    <xf numFmtId="0" fontId="0" fillId="12" borderId="0" xfId="0" applyFill="1" applyAlignment="1">
      <alignment horizontal="center"/>
    </xf>
    <xf numFmtId="171" fontId="0" fillId="12" borderId="0" xfId="0" applyNumberFormat="1" applyFill="1" applyAlignment="1" applyProtection="1">
      <alignment horizontal="center"/>
    </xf>
    <xf numFmtId="165" fontId="0" fillId="12" borderId="0" xfId="0" applyNumberFormat="1" applyFont="1" applyFill="1" applyAlignment="1" applyProtection="1">
      <alignment horizontal="center"/>
    </xf>
    <xf numFmtId="171" fontId="0" fillId="12" borderId="0" xfId="0" applyNumberFormat="1" applyFont="1" applyFill="1" applyAlignment="1" applyProtection="1">
      <alignment horizontal="center"/>
    </xf>
    <xf numFmtId="166" fontId="0" fillId="12" borderId="0" xfId="0" applyNumberFormat="1" applyFill="1" applyAlignment="1" applyProtection="1">
      <alignment horizontal="center"/>
    </xf>
    <xf numFmtId="0" fontId="0" fillId="4" borderId="0" xfId="0" applyFill="1" applyAlignment="1">
      <alignment horizontal="center"/>
    </xf>
    <xf numFmtId="171" fontId="0" fillId="4" borderId="0" xfId="0" applyNumberFormat="1" applyFill="1" applyAlignment="1" applyProtection="1">
      <alignment horizontal="center"/>
    </xf>
    <xf numFmtId="165" fontId="0" fillId="4" borderId="0" xfId="0" applyNumberFormat="1" applyFont="1" applyFill="1" applyAlignment="1" applyProtection="1">
      <alignment horizontal="center"/>
    </xf>
    <xf numFmtId="171" fontId="0" fillId="4" borderId="0" xfId="0" applyNumberFormat="1" applyFont="1" applyFill="1" applyAlignment="1" applyProtection="1">
      <alignment horizontal="center"/>
    </xf>
    <xf numFmtId="166" fontId="0" fillId="4" borderId="0" xfId="0" applyNumberFormat="1" applyFill="1" applyAlignment="1" applyProtection="1">
      <alignment horizontal="center"/>
    </xf>
    <xf numFmtId="0" fontId="4" fillId="4" borderId="0" xfId="0" applyFont="1" applyFill="1" applyAlignment="1">
      <alignment horizontal="center"/>
    </xf>
    <xf numFmtId="0" fontId="2" fillId="4" borderId="0" xfId="0" applyFont="1" applyFill="1" applyAlignment="1" applyProtection="1">
      <alignment horizontal="center"/>
    </xf>
    <xf numFmtId="171" fontId="14" fillId="4" borderId="0" xfId="0" applyNumberFormat="1" applyFont="1" applyFill="1" applyAlignment="1" applyProtection="1">
      <alignment horizontal="center"/>
    </xf>
    <xf numFmtId="165" fontId="14" fillId="4" borderId="0" xfId="0" applyNumberFormat="1" applyFont="1" applyFill="1" applyAlignment="1" applyProtection="1">
      <alignment horizontal="center"/>
    </xf>
    <xf numFmtId="166" fontId="14" fillId="4" borderId="0" xfId="0" applyNumberFormat="1" applyFont="1" applyFill="1" applyAlignment="1" applyProtection="1">
      <alignment horizontal="center"/>
    </xf>
    <xf numFmtId="0" fontId="24" fillId="6" borderId="0" xfId="2" applyFill="1"/>
    <xf numFmtId="0" fontId="24" fillId="6" borderId="0" xfId="2" applyFill="1" applyAlignment="1">
      <alignment horizontal="fill"/>
    </xf>
    <xf numFmtId="0" fontId="24" fillId="6" borderId="0" xfId="2" applyFill="1" applyProtection="1"/>
    <xf numFmtId="0" fontId="24" fillId="6" borderId="0" xfId="2" applyFill="1" applyAlignment="1">
      <alignment horizontal="right"/>
    </xf>
    <xf numFmtId="165" fontId="24" fillId="6" borderId="0" xfId="2" applyNumberFormat="1" applyFill="1" applyProtection="1"/>
    <xf numFmtId="0" fontId="25" fillId="6" borderId="0" xfId="2" applyFont="1" applyFill="1" applyProtection="1"/>
    <xf numFmtId="0" fontId="27" fillId="6" borderId="0" xfId="2" applyFont="1" applyFill="1" applyProtection="1"/>
    <xf numFmtId="0" fontId="24" fillId="6" borderId="0" xfId="2" applyFill="1" applyAlignment="1" applyProtection="1">
      <alignment horizontal="fill"/>
    </xf>
    <xf numFmtId="0" fontId="25" fillId="6" borderId="0" xfId="2" applyFont="1" applyFill="1" applyProtection="1">
      <protection locked="0"/>
    </xf>
    <xf numFmtId="164" fontId="24" fillId="7" borderId="0" xfId="2" applyNumberFormat="1" applyFill="1" applyAlignment="1" applyProtection="1">
      <alignment horizontal="fill"/>
    </xf>
    <xf numFmtId="165" fontId="24" fillId="7" borderId="0" xfId="2" applyNumberFormat="1" applyFill="1" applyAlignment="1" applyProtection="1">
      <alignment horizontal="fill"/>
    </xf>
    <xf numFmtId="166" fontId="24" fillId="7" borderId="0" xfId="2" applyNumberFormat="1" applyFill="1" applyAlignment="1" applyProtection="1">
      <alignment horizontal="fill"/>
    </xf>
    <xf numFmtId="0" fontId="24" fillId="7" borderId="0" xfId="2" quotePrefix="1" applyFill="1" applyAlignment="1">
      <alignment horizontal="fill"/>
    </xf>
    <xf numFmtId="168" fontId="0" fillId="7" borderId="1" xfId="0" applyNumberFormat="1" applyFont="1" applyFill="1" applyBorder="1" applyProtection="1"/>
    <xf numFmtId="171" fontId="24" fillId="6" borderId="0" xfId="2" applyNumberFormat="1" applyFill="1"/>
    <xf numFmtId="171" fontId="0" fillId="5" borderId="0" xfId="0" applyNumberFormat="1" applyFill="1"/>
    <xf numFmtId="171" fontId="6" fillId="6" borderId="0" xfId="0" applyNumberFormat="1" applyFont="1" applyFill="1"/>
    <xf numFmtId="171" fontId="6" fillId="5" borderId="0" xfId="0" applyNumberFormat="1" applyFont="1" applyFill="1"/>
    <xf numFmtId="0" fontId="24" fillId="6" borderId="0" xfId="2" applyFill="1" applyAlignment="1">
      <alignment horizontal="left"/>
    </xf>
    <xf numFmtId="0" fontId="24" fillId="6" borderId="0" xfId="2" quotePrefix="1" applyFill="1" applyAlignment="1">
      <alignment horizontal="fill"/>
    </xf>
    <xf numFmtId="0" fontId="24" fillId="6" borderId="0" xfId="2" quotePrefix="1" applyFill="1" applyAlignment="1">
      <alignment horizontal="left"/>
    </xf>
    <xf numFmtId="166" fontId="0" fillId="0" borderId="0" xfId="0" applyNumberFormat="1" applyFill="1" applyAlignment="1" applyProtection="1">
      <alignment horizontal="center"/>
    </xf>
    <xf numFmtId="0" fontId="29" fillId="6" borderId="0" xfId="2" applyFont="1" applyFill="1"/>
    <xf numFmtId="0" fontId="29" fillId="7" borderId="0" xfId="2" applyFont="1" applyFill="1"/>
    <xf numFmtId="0" fontId="29" fillId="12" borderId="0" xfId="2" applyFont="1" applyFill="1"/>
    <xf numFmtId="0" fontId="30" fillId="0" borderId="0" xfId="2" applyFont="1"/>
    <xf numFmtId="0" fontId="24" fillId="0" borderId="0" xfId="2" applyFill="1"/>
    <xf numFmtId="0" fontId="6" fillId="0" borderId="0" xfId="0" applyFont="1" applyFill="1" applyAlignment="1">
      <alignment horizontal="right"/>
    </xf>
    <xf numFmtId="165" fontId="6" fillId="0" borderId="0" xfId="0" applyNumberFormat="1" applyFont="1" applyFill="1" applyAlignment="1" applyProtection="1">
      <alignment horizontal="right"/>
    </xf>
    <xf numFmtId="166" fontId="6" fillId="0" borderId="0" xfId="0" applyNumberFormat="1" applyFont="1" applyFill="1" applyAlignment="1" applyProtection="1">
      <alignment horizontal="right"/>
    </xf>
    <xf numFmtId="164" fontId="6" fillId="0" borderId="0" xfId="0" applyNumberFormat="1" applyFont="1" applyFill="1" applyAlignment="1" applyProtection="1">
      <alignment horizontal="right"/>
    </xf>
    <xf numFmtId="0" fontId="6" fillId="0" borderId="0" xfId="0" applyFont="1" applyFill="1" applyAlignment="1" applyProtection="1">
      <alignment horizontal="right"/>
    </xf>
    <xf numFmtId="0" fontId="31" fillId="7" borderId="0" xfId="0" applyFont="1" applyFill="1"/>
    <xf numFmtId="0" fontId="32" fillId="2" borderId="0" xfId="0" applyFont="1" applyFill="1"/>
    <xf numFmtId="0" fontId="32" fillId="2" borderId="0" xfId="0" quotePrefix="1" applyFont="1" applyFill="1" applyAlignment="1">
      <alignment horizontal="fill"/>
    </xf>
    <xf numFmtId="0" fontId="32" fillId="7" borderId="0" xfId="2" applyFont="1" applyFill="1"/>
    <xf numFmtId="0" fontId="33" fillId="7" borderId="0" xfId="0" applyFont="1" applyFill="1" applyAlignment="1">
      <alignment vertical="center"/>
    </xf>
    <xf numFmtId="0" fontId="20" fillId="0" borderId="0" xfId="0" applyFont="1" applyFill="1" applyBorder="1"/>
    <xf numFmtId="166" fontId="21" fillId="0" borderId="0" xfId="0" applyNumberFormat="1" applyFont="1" applyBorder="1"/>
    <xf numFmtId="0" fontId="20" fillId="0" borderId="0" xfId="0" applyFont="1" applyBorder="1"/>
    <xf numFmtId="0" fontId="22" fillId="0" borderId="0" xfId="0" applyFont="1" applyFill="1" applyBorder="1"/>
    <xf numFmtId="2" fontId="23" fillId="0" borderId="0" xfId="0" applyNumberFormat="1" applyFont="1" applyFill="1" applyBorder="1"/>
    <xf numFmtId="0" fontId="21" fillId="0" borderId="0" xfId="0" applyFont="1" applyBorder="1"/>
    <xf numFmtId="2" fontId="21" fillId="0" borderId="0" xfId="0" applyNumberFormat="1" applyFont="1" applyFill="1" applyBorder="1"/>
    <xf numFmtId="0" fontId="22" fillId="0" borderId="0" xfId="0" applyFont="1" applyBorder="1"/>
    <xf numFmtId="169" fontId="22" fillId="0" borderId="0" xfId="0" applyNumberFormat="1" applyFont="1" applyBorder="1" applyProtection="1"/>
    <xf numFmtId="2" fontId="22" fillId="0" borderId="0" xfId="0" applyNumberFormat="1" applyFont="1" applyFill="1" applyBorder="1"/>
    <xf numFmtId="2" fontId="21" fillId="0" borderId="0" xfId="0" applyNumberFormat="1" applyFont="1" applyBorder="1"/>
    <xf numFmtId="2" fontId="22" fillId="0" borderId="0" xfId="0" applyNumberFormat="1" applyFont="1" applyBorder="1"/>
    <xf numFmtId="169" fontId="22" fillId="0" borderId="0" xfId="0" applyNumberFormat="1" applyFont="1" applyFill="1" applyBorder="1" applyProtection="1"/>
    <xf numFmtId="0" fontId="18" fillId="6" borderId="0" xfId="0" applyFont="1" applyFill="1" applyAlignment="1">
      <alignment horizontal="right"/>
    </xf>
    <xf numFmtId="165" fontId="6" fillId="2" borderId="0" xfId="0" applyNumberFormat="1" applyFont="1" applyFill="1" applyProtection="1"/>
    <xf numFmtId="0" fontId="0" fillId="5" borderId="0" xfId="0" applyFill="1" applyProtection="1">
      <protection locked="0"/>
    </xf>
    <xf numFmtId="0" fontId="0" fillId="5" borderId="0" xfId="0" applyFill="1" applyAlignment="1" applyProtection="1">
      <alignment horizontal="fill"/>
      <protection locked="0"/>
    </xf>
    <xf numFmtId="0" fontId="0" fillId="5" borderId="0" xfId="0" applyFill="1" applyProtection="1"/>
    <xf numFmtId="0" fontId="4" fillId="5" borderId="0" xfId="0" applyFont="1" applyFill="1" applyProtection="1"/>
    <xf numFmtId="0" fontId="24" fillId="6" borderId="0" xfId="2" applyFill="1" applyProtection="1">
      <protection locked="0"/>
    </xf>
    <xf numFmtId="0" fontId="24" fillId="6" borderId="0" xfId="2" applyFill="1" applyAlignment="1" applyProtection="1">
      <alignment horizontal="fill"/>
      <protection locked="0"/>
    </xf>
    <xf numFmtId="0" fontId="0" fillId="5" borderId="0" xfId="0" applyFill="1" applyAlignment="1" applyProtection="1">
      <alignment horizontal="fill"/>
    </xf>
    <xf numFmtId="166" fontId="11" fillId="10" borderId="0" xfId="0" applyNumberFormat="1" applyFont="1" applyFill="1" applyBorder="1" applyAlignment="1" applyProtection="1">
      <alignment horizontal="right"/>
      <protection locked="0"/>
    </xf>
    <xf numFmtId="0" fontId="7" fillId="5" borderId="0" xfId="0" applyFont="1" applyFill="1" applyProtection="1"/>
    <xf numFmtId="165" fontId="0" fillId="0" borderId="0" xfId="0" applyNumberFormat="1" applyAlignment="1" applyProtection="1">
      <alignment horizontal="left"/>
    </xf>
    <xf numFmtId="165" fontId="0" fillId="2" borderId="0" xfId="0" applyNumberFormat="1" applyFill="1" applyAlignment="1" applyProtection="1">
      <alignment horizontal="left"/>
    </xf>
    <xf numFmtId="0" fontId="22" fillId="0" borderId="0" xfId="0" applyFont="1" applyFill="1"/>
    <xf numFmtId="0" fontId="22" fillId="0" borderId="0" xfId="0" applyFont="1"/>
    <xf numFmtId="0" fontId="0" fillId="2" borderId="0" xfId="0" quotePrefix="1" applyFill="1" applyAlignment="1">
      <alignment horizontal="left"/>
    </xf>
    <xf numFmtId="0" fontId="22" fillId="0" borderId="0" xfId="0" applyFont="1" applyFill="1" applyAlignment="1">
      <alignment horizontal="fill"/>
    </xf>
    <xf numFmtId="0" fontId="22" fillId="9" borderId="0" xfId="0" applyFont="1" applyFill="1"/>
    <xf numFmtId="0" fontId="0" fillId="7" borderId="0" xfId="0" applyFill="1" applyAlignment="1">
      <alignment horizontal="left"/>
    </xf>
    <xf numFmtId="0" fontId="35" fillId="0" borderId="0" xfId="0" applyFont="1"/>
    <xf numFmtId="0" fontId="27" fillId="0" borderId="0" xfId="0" applyFont="1" applyFill="1"/>
    <xf numFmtId="0" fontId="0" fillId="2" borderId="0" xfId="0" applyFill="1" applyAlignment="1">
      <alignment horizontal="left"/>
    </xf>
    <xf numFmtId="0" fontId="27" fillId="0" borderId="0" xfId="0" applyFont="1" applyFill="1" applyAlignment="1">
      <alignment horizontal="fill"/>
    </xf>
    <xf numFmtId="0" fontId="0" fillId="0" borderId="0" xfId="0" applyAlignment="1">
      <alignment horizontal="left"/>
    </xf>
    <xf numFmtId="165" fontId="0" fillId="4" borderId="0" xfId="0" applyNumberFormat="1" applyFill="1" applyAlignment="1" applyProtection="1">
      <alignment horizontal="left"/>
    </xf>
    <xf numFmtId="165" fontId="0" fillId="4" borderId="0" xfId="0" quotePrefix="1" applyNumberFormat="1" applyFill="1" applyAlignment="1" applyProtection="1">
      <alignment horizontal="left"/>
    </xf>
    <xf numFmtId="0" fontId="27" fillId="0" borderId="0" xfId="0" applyFont="1"/>
    <xf numFmtId="171" fontId="27" fillId="4" borderId="0" xfId="0" applyNumberFormat="1" applyFont="1" applyFill="1" applyAlignment="1" applyProtection="1">
      <alignment horizontal="right"/>
    </xf>
    <xf numFmtId="165" fontId="0" fillId="4" borderId="0" xfId="0" quotePrefix="1" applyNumberFormat="1" applyFill="1" applyAlignment="1" applyProtection="1">
      <alignment horizontal="right"/>
    </xf>
    <xf numFmtId="165" fontId="27" fillId="4" borderId="0" xfId="0" applyNumberFormat="1" applyFont="1" applyFill="1" applyAlignment="1" applyProtection="1">
      <alignment horizontal="right"/>
    </xf>
    <xf numFmtId="0" fontId="0" fillId="5" borderId="0" xfId="0" applyFill="1" applyAlignment="1">
      <alignment horizontal="center"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11893"/>
      <color rgb="FFFF2600"/>
      <color rgb="FF0000FF"/>
      <color rgb="FFFF99CC"/>
      <color rgb="FFFFCC99"/>
      <color rgb="FFCCFFFF"/>
      <color rgb="FF451CF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jholmes@wisc.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bjholmes@wisc.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FF0000"/>
    <pageSetUpPr fitToPage="1"/>
  </sheetPr>
  <dimension ref="A1:Y68"/>
  <sheetViews>
    <sheetView showGridLines="0" tabSelected="1" zoomScale="80" zoomScaleNormal="80" zoomScalePageLayoutView="80" workbookViewId="0"/>
  </sheetViews>
  <sheetFormatPr defaultColWidth="9.7109375" defaultRowHeight="12.75"/>
  <cols>
    <col min="1" max="1" width="13.140625" customWidth="1"/>
    <col min="2" max="2" width="16.140625" customWidth="1"/>
    <col min="3" max="3" width="18.42578125" customWidth="1"/>
    <col min="4" max="4" width="15.7109375" customWidth="1"/>
    <col min="5" max="5" width="28.140625" customWidth="1"/>
    <col min="6" max="6" width="14.42578125" customWidth="1"/>
    <col min="7" max="7" width="15" customWidth="1"/>
    <col min="8" max="8" width="4.140625" customWidth="1"/>
    <col min="9" max="9" width="20.7109375" customWidth="1"/>
    <col min="10" max="10" width="7.7109375" customWidth="1"/>
    <col min="11" max="11" width="6.7109375" customWidth="1"/>
    <col min="12" max="15" width="8.7109375" customWidth="1"/>
    <col min="16" max="16" width="22.140625" customWidth="1"/>
    <col min="17" max="20" width="8.7109375" customWidth="1"/>
  </cols>
  <sheetData>
    <row r="1" spans="1:25">
      <c r="A1" s="45" t="s">
        <v>0</v>
      </c>
      <c r="B1" s="1"/>
      <c r="C1" s="2"/>
      <c r="D1" s="2"/>
      <c r="E1" s="3"/>
      <c r="F1" s="3"/>
    </row>
    <row r="2" spans="1:25">
      <c r="B2" s="7" t="s">
        <v>232</v>
      </c>
      <c r="C2" s="2"/>
      <c r="D2" s="2"/>
      <c r="E2" s="3"/>
      <c r="F2" s="3"/>
    </row>
    <row r="3" spans="1:25">
      <c r="A3" t="s">
        <v>1</v>
      </c>
      <c r="B3" s="1"/>
      <c r="C3" s="2"/>
      <c r="D3" s="2"/>
      <c r="E3" s="3"/>
      <c r="F3" s="3"/>
    </row>
    <row r="4" spans="1:25">
      <c r="A4" t="s">
        <v>2</v>
      </c>
      <c r="B4" s="1"/>
      <c r="C4" s="2"/>
      <c r="D4" s="2"/>
      <c r="E4" s="3"/>
      <c r="F4" s="3"/>
    </row>
    <row r="5" spans="1:25">
      <c r="A5" t="s">
        <v>3</v>
      </c>
      <c r="B5" s="1"/>
      <c r="C5" s="2"/>
      <c r="D5" s="2"/>
      <c r="E5" s="3"/>
      <c r="F5" s="3"/>
      <c r="Y5" t="s">
        <v>227</v>
      </c>
    </row>
    <row r="6" spans="1:25">
      <c r="A6" t="s">
        <v>4</v>
      </c>
      <c r="B6" s="1"/>
      <c r="C6" s="2"/>
      <c r="D6" s="2"/>
      <c r="E6" s="3"/>
      <c r="F6" s="3"/>
      <c r="I6" s="36" t="s">
        <v>402</v>
      </c>
      <c r="J6" s="37"/>
      <c r="K6" s="37"/>
      <c r="L6" s="37"/>
      <c r="M6" s="37"/>
      <c r="N6" s="37"/>
      <c r="O6" s="37"/>
      <c r="P6" s="37"/>
      <c r="Q6" s="37"/>
      <c r="R6" s="37"/>
      <c r="S6" s="37"/>
      <c r="T6" s="37"/>
      <c r="U6" s="35"/>
    </row>
    <row r="7" spans="1:25">
      <c r="A7" t="s">
        <v>89</v>
      </c>
      <c r="B7" s="1"/>
      <c r="C7" s="2"/>
      <c r="D7" s="2"/>
      <c r="E7" s="3"/>
      <c r="F7" s="3"/>
      <c r="I7" s="38" t="s">
        <v>5</v>
      </c>
      <c r="J7" s="38" t="s">
        <v>5</v>
      </c>
      <c r="K7" s="38" t="s">
        <v>5</v>
      </c>
      <c r="L7" s="38" t="s">
        <v>5</v>
      </c>
      <c r="M7" s="38" t="s">
        <v>5</v>
      </c>
      <c r="N7" s="38" t="s">
        <v>5</v>
      </c>
      <c r="O7" s="38" t="s">
        <v>5</v>
      </c>
      <c r="P7" s="38" t="s">
        <v>5</v>
      </c>
      <c r="Q7" s="38" t="s">
        <v>5</v>
      </c>
      <c r="R7" s="38" t="s">
        <v>5</v>
      </c>
      <c r="S7" s="38" t="s">
        <v>5</v>
      </c>
      <c r="T7" s="38" t="s">
        <v>5</v>
      </c>
      <c r="U7" s="35"/>
    </row>
    <row r="8" spans="1:25">
      <c r="A8" t="s">
        <v>75</v>
      </c>
      <c r="B8" s="1"/>
      <c r="C8" s="2"/>
      <c r="D8" s="2"/>
      <c r="E8" s="3"/>
      <c r="F8" s="3"/>
      <c r="I8" s="37"/>
      <c r="J8" s="37"/>
      <c r="K8" s="37"/>
      <c r="L8" s="37" t="s">
        <v>7</v>
      </c>
      <c r="M8" s="37" t="s">
        <v>8</v>
      </c>
      <c r="N8" s="37" t="s">
        <v>9</v>
      </c>
      <c r="O8" s="37" t="s">
        <v>10</v>
      </c>
      <c r="P8" s="37"/>
      <c r="Q8" s="37" t="s">
        <v>7</v>
      </c>
      <c r="R8" s="37" t="s">
        <v>8</v>
      </c>
      <c r="S8" s="37" t="s">
        <v>9</v>
      </c>
      <c r="T8" s="37" t="s">
        <v>10</v>
      </c>
      <c r="U8" s="35"/>
    </row>
    <row r="9" spans="1:25">
      <c r="B9" s="1"/>
      <c r="C9" s="2"/>
      <c r="E9" s="3"/>
      <c r="F9" s="3"/>
      <c r="I9" s="37"/>
      <c r="J9" s="37" t="s">
        <v>12</v>
      </c>
      <c r="K9" s="37"/>
      <c r="L9" s="37" t="s">
        <v>13</v>
      </c>
      <c r="M9" s="37" t="s">
        <v>13</v>
      </c>
      <c r="N9" s="37" t="s">
        <v>13</v>
      </c>
      <c r="O9" s="37" t="s">
        <v>13</v>
      </c>
      <c r="P9" s="37"/>
      <c r="Q9" s="37" t="s">
        <v>13</v>
      </c>
      <c r="R9" s="37" t="s">
        <v>13</v>
      </c>
      <c r="S9" s="37" t="s">
        <v>13</v>
      </c>
      <c r="T9" s="37" t="s">
        <v>13</v>
      </c>
      <c r="U9" s="35"/>
    </row>
    <row r="10" spans="1:25">
      <c r="B10" s="1"/>
      <c r="C10" s="2"/>
      <c r="D10" s="2"/>
      <c r="E10" s="3"/>
      <c r="F10" s="3"/>
      <c r="I10" s="37"/>
      <c r="J10" s="37" t="s">
        <v>14</v>
      </c>
      <c r="K10" s="37"/>
      <c r="L10" s="37"/>
      <c r="M10" s="37"/>
      <c r="N10" s="37"/>
      <c r="O10" s="37"/>
      <c r="P10" s="37"/>
      <c r="Q10" s="37"/>
      <c r="R10" s="37"/>
      <c r="S10" s="37"/>
      <c r="T10" s="37"/>
      <c r="U10" s="35"/>
    </row>
    <row r="11" spans="1:25">
      <c r="B11" s="1"/>
      <c r="C11" s="2"/>
      <c r="D11" s="2"/>
      <c r="E11" s="3"/>
      <c r="F11" s="3"/>
      <c r="I11" s="37" t="s">
        <v>265</v>
      </c>
      <c r="J11" s="37" t="s">
        <v>15</v>
      </c>
      <c r="K11" s="37" t="s">
        <v>16</v>
      </c>
      <c r="L11" s="37" t="s">
        <v>17</v>
      </c>
      <c r="M11" s="37"/>
      <c r="N11" s="37"/>
      <c r="O11" s="37"/>
      <c r="P11" s="37"/>
      <c r="Q11" s="37" t="s">
        <v>18</v>
      </c>
      <c r="R11" s="37"/>
      <c r="S11" s="37"/>
      <c r="T11" s="37"/>
      <c r="U11" s="35"/>
    </row>
    <row r="12" spans="1:25">
      <c r="B12" s="1"/>
      <c r="C12" s="8" t="s">
        <v>88</v>
      </c>
      <c r="D12" s="8"/>
      <c r="E12" s="9"/>
      <c r="F12" s="9"/>
      <c r="G12" s="35"/>
      <c r="I12" s="38" t="s">
        <v>5</v>
      </c>
      <c r="J12" s="38" t="s">
        <v>5</v>
      </c>
      <c r="K12" s="38" t="s">
        <v>5</v>
      </c>
      <c r="L12" s="38" t="s">
        <v>5</v>
      </c>
      <c r="M12" s="38" t="s">
        <v>5</v>
      </c>
      <c r="N12" s="38" t="s">
        <v>5</v>
      </c>
      <c r="O12" s="38" t="s">
        <v>5</v>
      </c>
      <c r="P12" s="38" t="s">
        <v>5</v>
      </c>
      <c r="Q12" s="38" t="s">
        <v>5</v>
      </c>
      <c r="R12" s="38" t="s">
        <v>5</v>
      </c>
      <c r="S12" s="38" t="s">
        <v>5</v>
      </c>
      <c r="T12" s="38" t="s">
        <v>5</v>
      </c>
      <c r="U12" s="35"/>
    </row>
    <row r="13" spans="1:25">
      <c r="A13" s="26" t="s">
        <v>21</v>
      </c>
      <c r="B13" s="27"/>
      <c r="C13" s="8"/>
      <c r="D13" s="8"/>
      <c r="E13" s="9"/>
      <c r="F13" s="9"/>
      <c r="I13" s="37" t="s">
        <v>19</v>
      </c>
      <c r="J13" s="37"/>
      <c r="K13" s="37">
        <f>SUM(J14:J17)</f>
        <v>68</v>
      </c>
      <c r="L13" s="37"/>
      <c r="M13" s="37"/>
      <c r="N13" s="37"/>
      <c r="O13" s="37"/>
      <c r="P13" s="37"/>
      <c r="Q13" s="37"/>
      <c r="R13" s="37"/>
      <c r="S13" s="37"/>
      <c r="T13" s="37"/>
      <c r="U13" s="35"/>
    </row>
    <row r="14" spans="1:25">
      <c r="A14" s="33" t="s">
        <v>92</v>
      </c>
      <c r="B14" s="33" t="s">
        <v>92</v>
      </c>
      <c r="C14" s="33" t="s">
        <v>92</v>
      </c>
      <c r="D14" s="33" t="s">
        <v>92</v>
      </c>
      <c r="E14" s="33" t="s">
        <v>92</v>
      </c>
      <c r="F14" s="33" t="s">
        <v>92</v>
      </c>
      <c r="I14" s="40" t="s">
        <v>20</v>
      </c>
      <c r="J14" s="11">
        <v>8</v>
      </c>
      <c r="K14" s="42"/>
      <c r="L14" s="11">
        <v>0</v>
      </c>
      <c r="M14" s="11">
        <v>0</v>
      </c>
      <c r="N14" s="11">
        <v>20</v>
      </c>
      <c r="O14" s="11">
        <v>0</v>
      </c>
      <c r="P14" s="37"/>
      <c r="Q14" s="163">
        <f>L14*$J$14</f>
        <v>0</v>
      </c>
      <c r="R14" s="163">
        <f>M14*$J$14</f>
        <v>0</v>
      </c>
      <c r="S14" s="163">
        <f>N14*$J$14</f>
        <v>160</v>
      </c>
      <c r="T14" s="163">
        <f>O14*$J$14</f>
        <v>0</v>
      </c>
      <c r="U14" s="35"/>
    </row>
    <row r="15" spans="1:25">
      <c r="A15" s="10" t="s">
        <v>93</v>
      </c>
      <c r="B15" s="27"/>
      <c r="C15" s="8"/>
      <c r="D15" s="52"/>
      <c r="E15" s="62">
        <v>8</v>
      </c>
      <c r="F15" s="60"/>
      <c r="I15" s="40" t="s">
        <v>22</v>
      </c>
      <c r="J15" s="11">
        <v>22</v>
      </c>
      <c r="K15" s="42"/>
      <c r="L15" s="11">
        <v>0</v>
      </c>
      <c r="M15" s="11">
        <v>10</v>
      </c>
      <c r="N15" s="11">
        <v>15</v>
      </c>
      <c r="O15" s="11">
        <v>0</v>
      </c>
      <c r="P15" s="37"/>
      <c r="Q15" s="163">
        <f>L15*$J$15</f>
        <v>0</v>
      </c>
      <c r="R15" s="163">
        <f>M15*$J$15</f>
        <v>220</v>
      </c>
      <c r="S15" s="163">
        <f>N15*$J$15</f>
        <v>330</v>
      </c>
      <c r="T15" s="163">
        <f>O15*$J$15</f>
        <v>0</v>
      </c>
      <c r="U15" s="35"/>
    </row>
    <row r="16" spans="1:25">
      <c r="A16" s="10"/>
      <c r="B16" s="29"/>
      <c r="C16" s="57"/>
      <c r="D16" s="30"/>
      <c r="E16" s="31"/>
      <c r="F16" s="31"/>
      <c r="G16" s="4"/>
      <c r="I16" s="40" t="s">
        <v>23</v>
      </c>
      <c r="J16" s="11">
        <v>22</v>
      </c>
      <c r="K16" s="42"/>
      <c r="L16" s="11">
        <v>0</v>
      </c>
      <c r="M16" s="11">
        <v>10</v>
      </c>
      <c r="N16" s="11">
        <v>15</v>
      </c>
      <c r="O16" s="11">
        <v>0</v>
      </c>
      <c r="P16" s="37"/>
      <c r="Q16" s="163">
        <f>L16*$J$16</f>
        <v>0</v>
      </c>
      <c r="R16" s="163">
        <f>M16*$J$16</f>
        <v>220</v>
      </c>
      <c r="S16" s="163">
        <f>N16*$J$16</f>
        <v>330</v>
      </c>
      <c r="T16" s="163">
        <f>O16*$J$16</f>
        <v>0</v>
      </c>
      <c r="U16" s="35"/>
    </row>
    <row r="17" spans="1:21">
      <c r="A17" s="10" t="s">
        <v>24</v>
      </c>
      <c r="B17" s="27"/>
      <c r="C17" s="8"/>
      <c r="D17" s="8"/>
      <c r="E17" s="121" t="s">
        <v>230</v>
      </c>
      <c r="F17" s="53" t="s">
        <v>229</v>
      </c>
      <c r="I17" s="40" t="s">
        <v>25</v>
      </c>
      <c r="J17" s="11">
        <v>16</v>
      </c>
      <c r="K17" s="42"/>
      <c r="L17" s="11">
        <v>0</v>
      </c>
      <c r="M17" s="11">
        <v>20</v>
      </c>
      <c r="N17" s="11">
        <v>0</v>
      </c>
      <c r="O17" s="11">
        <v>3</v>
      </c>
      <c r="P17" s="37"/>
      <c r="Q17" s="163">
        <f>L17*$J$17</f>
        <v>0</v>
      </c>
      <c r="R17" s="163">
        <f>M17*$J$17</f>
        <v>320</v>
      </c>
      <c r="S17" s="163">
        <f>N17*$J$17</f>
        <v>0</v>
      </c>
      <c r="T17" s="163">
        <f>O17*$J$17</f>
        <v>48</v>
      </c>
      <c r="U17" s="35"/>
    </row>
    <row r="18" spans="1:21">
      <c r="A18" s="10"/>
      <c r="B18" s="27"/>
      <c r="C18" s="8"/>
      <c r="D18" s="8"/>
      <c r="E18" s="32"/>
      <c r="F18" s="53" t="s">
        <v>228</v>
      </c>
      <c r="I18" s="37"/>
      <c r="J18" s="43"/>
      <c r="K18" s="42"/>
      <c r="L18" s="43"/>
      <c r="M18" s="43"/>
      <c r="N18" s="43"/>
      <c r="O18" s="43"/>
      <c r="P18" s="37"/>
      <c r="Q18" s="163"/>
      <c r="R18" s="163"/>
      <c r="S18" s="163"/>
      <c r="T18" s="163"/>
      <c r="U18" s="35"/>
    </row>
    <row r="19" spans="1:21">
      <c r="A19" s="10" t="s">
        <v>26</v>
      </c>
      <c r="B19" s="27"/>
      <c r="C19" s="8"/>
      <c r="D19" s="8"/>
      <c r="E19" s="161">
        <f>IF(E17="Corn Silage",T44,IF(E17="Hay 1 Silage",Q44, IF(E17="Hay 2 Silage",R44,IF(E17="Hay 3 Silage", S44,IF(E17="My Silage",F21)))))</f>
        <v>6000</v>
      </c>
      <c r="F19" s="54" t="str">
        <f>IF(E17="My Silage", " ", "From Silage Dry Matter Calculator")</f>
        <v xml:space="preserve"> </v>
      </c>
      <c r="G19" s="55"/>
      <c r="H19" s="55"/>
      <c r="I19" s="37" t="s">
        <v>27</v>
      </c>
      <c r="J19" s="11">
        <v>20</v>
      </c>
      <c r="K19" s="202">
        <f>J19</f>
        <v>20</v>
      </c>
      <c r="L19" s="11">
        <v>15</v>
      </c>
      <c r="M19" s="11">
        <v>10</v>
      </c>
      <c r="N19" s="11">
        <v>0</v>
      </c>
      <c r="O19" s="11">
        <v>3</v>
      </c>
      <c r="P19" s="37"/>
      <c r="Q19" s="163">
        <f>L19*$J$19</f>
        <v>300</v>
      </c>
      <c r="R19" s="163">
        <f>M19*$J$19</f>
        <v>200</v>
      </c>
      <c r="S19" s="163">
        <f>N19*$J$19</f>
        <v>0</v>
      </c>
      <c r="T19" s="163">
        <f>O19*$J$19</f>
        <v>60</v>
      </c>
      <c r="U19" s="35"/>
    </row>
    <row r="20" spans="1:21">
      <c r="A20" s="10"/>
      <c r="B20" s="27"/>
      <c r="C20" s="8"/>
      <c r="D20" s="8"/>
      <c r="E20" s="32"/>
      <c r="F20" s="54" t="str">
        <f>IF(E17="My Silage", " ", "Table, Row 44")</f>
        <v xml:space="preserve"> </v>
      </c>
      <c r="G20" s="55"/>
      <c r="H20" s="55"/>
      <c r="I20" s="37"/>
      <c r="J20" s="43"/>
      <c r="K20" s="202"/>
      <c r="L20" s="43"/>
      <c r="M20" s="43"/>
      <c r="N20" s="43"/>
      <c r="O20" s="43"/>
      <c r="P20" s="37"/>
      <c r="Q20" s="163"/>
      <c r="R20" s="163"/>
      <c r="S20" s="163"/>
      <c r="T20" s="163"/>
      <c r="U20" s="35"/>
    </row>
    <row r="21" spans="1:21">
      <c r="A21" s="59" t="str">
        <f>IF(E17="My Silage", "My Silage, if not from Silage Dry Matter Calculator Table (Row 44) (Lbs DMI/Herd-Day) =", "  ")</f>
        <v>My Silage, if not from Silage Dry Matter Calculator Table (Row 44) (Lbs DMI/Herd-Day) =</v>
      </c>
      <c r="B21" s="56"/>
      <c r="C21" s="56"/>
      <c r="D21" s="8"/>
      <c r="E21" s="32"/>
      <c r="F21" s="63">
        <v>6000</v>
      </c>
      <c r="G21" s="58" t="str">
        <f>IF(E17="My Silage","My Silage","   ")</f>
        <v>My Silage</v>
      </c>
      <c r="I21" s="37" t="s">
        <v>28</v>
      </c>
      <c r="J21" s="11">
        <v>6</v>
      </c>
      <c r="K21" s="202">
        <f>J21</f>
        <v>6</v>
      </c>
      <c r="L21" s="11">
        <v>10</v>
      </c>
      <c r="M21" s="11">
        <v>5</v>
      </c>
      <c r="N21" s="11">
        <v>0</v>
      </c>
      <c r="O21" s="11">
        <v>10</v>
      </c>
      <c r="P21" s="37"/>
      <c r="Q21" s="163">
        <f>L21*$J21</f>
        <v>60</v>
      </c>
      <c r="R21" s="163">
        <f>M21*$J21</f>
        <v>30</v>
      </c>
      <c r="S21" s="163">
        <f>N21*$J21</f>
        <v>0</v>
      </c>
      <c r="T21" s="163">
        <f>O21*$J21</f>
        <v>60</v>
      </c>
      <c r="U21" s="35"/>
    </row>
    <row r="22" spans="1:21">
      <c r="A22" s="10" t="s">
        <v>29</v>
      </c>
      <c r="B22" s="27"/>
      <c r="C22" s="8"/>
      <c r="D22" s="8"/>
      <c r="E22" s="12">
        <v>10</v>
      </c>
      <c r="F22" s="9"/>
      <c r="I22" s="37"/>
      <c r="J22" s="43"/>
      <c r="K22" s="202"/>
      <c r="L22" s="43"/>
      <c r="M22" s="43"/>
      <c r="N22" s="43"/>
      <c r="O22" s="43"/>
      <c r="P22" s="37"/>
      <c r="Q22" s="163"/>
      <c r="R22" s="163"/>
      <c r="S22" s="163"/>
      <c r="T22" s="163"/>
      <c r="U22" s="35"/>
    </row>
    <row r="23" spans="1:21">
      <c r="A23" s="10" t="s">
        <v>30</v>
      </c>
      <c r="B23" s="27"/>
      <c r="C23" s="8"/>
      <c r="D23" s="8"/>
      <c r="E23" s="32"/>
      <c r="F23" s="9"/>
      <c r="I23" s="37" t="s">
        <v>31</v>
      </c>
      <c r="J23" s="11">
        <v>110</v>
      </c>
      <c r="K23" s="202">
        <f>J23</f>
        <v>110</v>
      </c>
      <c r="L23" s="11">
        <v>10</v>
      </c>
      <c r="M23" s="11">
        <v>0</v>
      </c>
      <c r="N23" s="11">
        <v>0</v>
      </c>
      <c r="O23" s="11">
        <v>15</v>
      </c>
      <c r="P23" s="37"/>
      <c r="Q23" s="163">
        <f>L23*$J$23</f>
        <v>1100</v>
      </c>
      <c r="R23" s="163">
        <f>M23*$J$23</f>
        <v>0</v>
      </c>
      <c r="S23" s="163">
        <f>N23*$J$23</f>
        <v>0</v>
      </c>
      <c r="T23" s="163">
        <f>O23*$J$23</f>
        <v>1650</v>
      </c>
      <c r="U23" s="35"/>
    </row>
    <row r="24" spans="1:21">
      <c r="A24" s="10"/>
      <c r="B24" s="27"/>
      <c r="C24" s="8"/>
      <c r="D24" s="8"/>
      <c r="E24" s="32"/>
      <c r="F24" s="9"/>
      <c r="G24" s="185" t="s">
        <v>334</v>
      </c>
      <c r="H24" s="186">
        <f>E32</f>
        <v>12</v>
      </c>
      <c r="I24" s="37"/>
      <c r="J24" s="200"/>
      <c r="K24" s="202"/>
      <c r="L24" s="200"/>
      <c r="M24" s="200"/>
      <c r="N24" s="200"/>
      <c r="O24" s="200"/>
      <c r="P24" s="37"/>
      <c r="Q24" s="163"/>
      <c r="R24" s="163"/>
      <c r="S24" s="163"/>
      <c r="T24" s="163"/>
      <c r="U24" s="35"/>
    </row>
    <row r="25" spans="1:21">
      <c r="A25" s="10" t="s">
        <v>433</v>
      </c>
      <c r="B25" s="27"/>
      <c r="C25" s="8"/>
      <c r="D25" s="8"/>
      <c r="E25" s="12">
        <v>5</v>
      </c>
      <c r="F25" s="9"/>
      <c r="G25" s="185" t="s">
        <v>335</v>
      </c>
      <c r="H25" s="186">
        <f>E28</f>
        <v>44</v>
      </c>
      <c r="I25" s="37" t="s">
        <v>32</v>
      </c>
      <c r="J25" s="200"/>
      <c r="K25" s="202">
        <f>SUM(J26:J28)</f>
        <v>226</v>
      </c>
      <c r="L25" s="200"/>
      <c r="M25" s="200"/>
      <c r="N25" s="200"/>
      <c r="O25" s="200"/>
      <c r="P25" s="37"/>
      <c r="Q25" s="163"/>
      <c r="R25" s="163"/>
      <c r="S25" s="163"/>
      <c r="T25" s="163"/>
      <c r="U25" s="35"/>
    </row>
    <row r="26" spans="1:21">
      <c r="A26" s="10" t="s">
        <v>434</v>
      </c>
      <c r="B26" s="27"/>
      <c r="C26" s="8"/>
      <c r="D26" s="8"/>
      <c r="E26" s="32"/>
      <c r="F26" s="9"/>
      <c r="G26" s="185" t="s">
        <v>336</v>
      </c>
      <c r="H26" s="186">
        <f>100-E30</f>
        <v>33</v>
      </c>
      <c r="I26" s="40" t="s">
        <v>33</v>
      </c>
      <c r="J26" s="11">
        <v>90</v>
      </c>
      <c r="K26" s="42"/>
      <c r="L26" s="11">
        <v>10</v>
      </c>
      <c r="M26" s="11">
        <v>0</v>
      </c>
      <c r="N26" s="11">
        <v>0</v>
      </c>
      <c r="O26" s="11">
        <v>15</v>
      </c>
      <c r="P26" s="37"/>
      <c r="Q26" s="163">
        <f>L26*$J$26</f>
        <v>900</v>
      </c>
      <c r="R26" s="163">
        <f>M26*$J$26</f>
        <v>0</v>
      </c>
      <c r="S26" s="163">
        <f>N26*$J$26</f>
        <v>0</v>
      </c>
      <c r="T26" s="163">
        <f>O26*$J$26</f>
        <v>1350</v>
      </c>
      <c r="U26" s="35"/>
    </row>
    <row r="27" spans="1:21">
      <c r="A27" s="10"/>
      <c r="B27" s="27"/>
      <c r="C27" s="8"/>
      <c r="D27" s="8"/>
      <c r="E27" s="32"/>
      <c r="F27" s="9"/>
      <c r="G27" s="185" t="s">
        <v>337</v>
      </c>
      <c r="H27" s="190">
        <f>H25*H26/100</f>
        <v>14.52</v>
      </c>
      <c r="I27" s="40" t="s">
        <v>34</v>
      </c>
      <c r="J27" s="11">
        <v>68</v>
      </c>
      <c r="K27" s="42"/>
      <c r="L27" s="11">
        <v>15</v>
      </c>
      <c r="M27" s="11">
        <v>5</v>
      </c>
      <c r="N27" s="11">
        <v>0</v>
      </c>
      <c r="O27" s="11">
        <v>10</v>
      </c>
      <c r="P27" s="37"/>
      <c r="Q27" s="163">
        <f>L27*$J$27</f>
        <v>1020</v>
      </c>
      <c r="R27" s="163">
        <f>M27*$J$27</f>
        <v>340</v>
      </c>
      <c r="S27" s="163">
        <f>N27*$J$27</f>
        <v>0</v>
      </c>
      <c r="T27" s="163">
        <f>O27*$J$27</f>
        <v>680</v>
      </c>
      <c r="U27" s="35"/>
    </row>
    <row r="28" spans="1:21">
      <c r="A28" s="10" t="s">
        <v>35</v>
      </c>
      <c r="B28" s="27"/>
      <c r="C28" s="8"/>
      <c r="D28" s="8"/>
      <c r="E28" s="12">
        <v>44</v>
      </c>
      <c r="F28" s="9"/>
      <c r="G28" s="185" t="s">
        <v>338</v>
      </c>
      <c r="H28" s="191">
        <f>100*(1-(H27/(62.4*1.5)+(H25-H27)/62.4))</f>
        <v>37.243589743589745</v>
      </c>
      <c r="I28" s="40" t="s">
        <v>36</v>
      </c>
      <c r="J28" s="11">
        <v>68</v>
      </c>
      <c r="K28" s="42"/>
      <c r="L28" s="11">
        <v>10</v>
      </c>
      <c r="M28" s="11">
        <v>10</v>
      </c>
      <c r="N28" s="11">
        <v>0</v>
      </c>
      <c r="O28" s="11">
        <v>10</v>
      </c>
      <c r="P28" s="37"/>
      <c r="Q28" s="163">
        <f>L28*$J$28</f>
        <v>680</v>
      </c>
      <c r="R28" s="163">
        <f>M28*$J$28</f>
        <v>680</v>
      </c>
      <c r="S28" s="163">
        <f>N28*$J$28</f>
        <v>0</v>
      </c>
      <c r="T28" s="163">
        <f>O28*$J$28</f>
        <v>680</v>
      </c>
      <c r="U28" s="35"/>
    </row>
    <row r="29" spans="1:21">
      <c r="A29" s="10"/>
      <c r="B29" s="27"/>
      <c r="C29" s="8"/>
      <c r="D29" s="8"/>
      <c r="E29" s="32"/>
      <c r="F29" s="9"/>
      <c r="G29" s="187" t="s">
        <v>340</v>
      </c>
      <c r="H29" s="191">
        <f>40*H26/100</f>
        <v>13.2</v>
      </c>
      <c r="I29" s="37"/>
      <c r="J29" s="200"/>
      <c r="K29" s="202"/>
      <c r="L29" s="200"/>
      <c r="M29" s="200"/>
      <c r="N29" s="200"/>
      <c r="O29" s="200"/>
      <c r="P29" s="37"/>
      <c r="Q29" s="163"/>
      <c r="R29" s="163"/>
      <c r="S29" s="163"/>
      <c r="T29" s="163"/>
      <c r="U29" s="35"/>
    </row>
    <row r="30" spans="1:21">
      <c r="A30" s="10" t="s">
        <v>37</v>
      </c>
      <c r="B30" s="27"/>
      <c r="C30" s="8"/>
      <c r="D30" s="8"/>
      <c r="E30" s="12">
        <v>67</v>
      </c>
      <c r="F30" s="9"/>
      <c r="G30" s="185" t="s">
        <v>339</v>
      </c>
      <c r="H30" s="191">
        <f>100*(1-(H29/(62.4*1.5)+(40-H29)/62.4))</f>
        <v>42.948717948717949</v>
      </c>
      <c r="I30" s="37" t="s">
        <v>38</v>
      </c>
      <c r="J30" s="11">
        <v>10</v>
      </c>
      <c r="K30" s="208">
        <f>J30</f>
        <v>10</v>
      </c>
      <c r="L30" s="11">
        <v>25</v>
      </c>
      <c r="M30" s="11">
        <v>5</v>
      </c>
      <c r="N30" s="11">
        <v>0</v>
      </c>
      <c r="O30" s="11">
        <v>5</v>
      </c>
      <c r="P30" s="37"/>
      <c r="Q30" s="163">
        <f>L30*$J$30</f>
        <v>250</v>
      </c>
      <c r="R30" s="163">
        <f>M30*$J$30</f>
        <v>50</v>
      </c>
      <c r="S30" s="163">
        <f>N30*$J$30</f>
        <v>0</v>
      </c>
      <c r="T30" s="163">
        <f>O30*$J$30</f>
        <v>50</v>
      </c>
      <c r="U30" s="35"/>
    </row>
    <row r="31" spans="1:21">
      <c r="A31" s="10"/>
      <c r="B31" s="27"/>
      <c r="C31" s="8"/>
      <c r="D31" s="8"/>
      <c r="E31" s="32"/>
      <c r="F31" s="9"/>
      <c r="G31" s="188"/>
      <c r="H31" s="192"/>
      <c r="I31" s="38" t="s">
        <v>39</v>
      </c>
      <c r="J31" s="201" t="s">
        <v>39</v>
      </c>
      <c r="K31" s="206" t="s">
        <v>39</v>
      </c>
      <c r="L31" s="201" t="s">
        <v>39</v>
      </c>
      <c r="M31" s="201" t="s">
        <v>39</v>
      </c>
      <c r="N31" s="201" t="s">
        <v>39</v>
      </c>
      <c r="O31" s="201" t="s">
        <v>39</v>
      </c>
      <c r="P31" s="38" t="s">
        <v>39</v>
      </c>
      <c r="Q31" s="38" t="s">
        <v>39</v>
      </c>
      <c r="R31" s="38" t="s">
        <v>39</v>
      </c>
      <c r="S31" s="38" t="s">
        <v>39</v>
      </c>
      <c r="T31" s="38" t="s">
        <v>39</v>
      </c>
      <c r="U31" s="35"/>
    </row>
    <row r="32" spans="1:21">
      <c r="A32" s="10" t="s">
        <v>40</v>
      </c>
      <c r="B32" s="27"/>
      <c r="C32" s="8"/>
      <c r="D32" s="8"/>
      <c r="E32" s="12">
        <v>12</v>
      </c>
      <c r="F32" s="9"/>
      <c r="G32" s="189">
        <f>(3+((H26-35)/100))*(H28/H30)*(6/H24)</f>
        <v>1.2920746268656718</v>
      </c>
      <c r="H32" s="192"/>
      <c r="I32" s="37" t="s">
        <v>41</v>
      </c>
      <c r="J32" s="200" t="s">
        <v>16</v>
      </c>
      <c r="K32" s="202">
        <f>SUM(K12:K30)</f>
        <v>440</v>
      </c>
      <c r="L32" s="200"/>
      <c r="M32" s="200"/>
      <c r="N32" s="200"/>
      <c r="O32" s="200"/>
      <c r="P32" s="37"/>
      <c r="Q32" s="37"/>
      <c r="R32" s="37"/>
      <c r="S32" s="37"/>
      <c r="T32" s="37"/>
      <c r="U32" s="35"/>
    </row>
    <row r="33" spans="1:21">
      <c r="A33" s="10"/>
      <c r="B33" s="27"/>
      <c r="C33" s="8"/>
      <c r="D33" s="8"/>
      <c r="E33" s="32"/>
      <c r="F33" s="9"/>
      <c r="H33" s="74"/>
      <c r="I33" s="41"/>
      <c r="J33" s="200"/>
      <c r="K33" s="202"/>
      <c r="L33" s="200"/>
      <c r="M33" s="200"/>
      <c r="N33" s="200"/>
      <c r="O33" s="200"/>
      <c r="P33" s="37"/>
      <c r="Q33" s="37"/>
      <c r="R33" s="37"/>
      <c r="S33" s="37"/>
      <c r="T33" s="37"/>
      <c r="U33" s="35"/>
    </row>
    <row r="34" spans="1:21">
      <c r="A34" s="10" t="s">
        <v>42</v>
      </c>
      <c r="B34" s="27"/>
      <c r="C34" s="8"/>
      <c r="D34" s="8"/>
      <c r="E34" s="12">
        <v>360</v>
      </c>
      <c r="F34" s="9"/>
      <c r="I34" s="37" t="s">
        <v>43</v>
      </c>
      <c r="J34" s="200"/>
      <c r="K34" s="202"/>
      <c r="L34" s="200"/>
      <c r="M34" s="200"/>
      <c r="N34" s="200"/>
      <c r="O34" s="200"/>
      <c r="P34" s="37"/>
      <c r="Q34" s="37"/>
      <c r="R34" s="37"/>
      <c r="S34" s="37"/>
      <c r="T34" s="37"/>
      <c r="U34" s="35"/>
    </row>
    <row r="35" spans="1:21">
      <c r="A35" s="10"/>
      <c r="B35" s="27"/>
      <c r="C35" s="8"/>
      <c r="D35" s="8"/>
      <c r="E35" s="32"/>
      <c r="F35" s="9"/>
      <c r="I35" s="40" t="s">
        <v>44</v>
      </c>
      <c r="J35" s="11">
        <v>48</v>
      </c>
      <c r="K35" s="42"/>
      <c r="L35" s="11">
        <v>3</v>
      </c>
      <c r="M35" s="11">
        <v>0</v>
      </c>
      <c r="N35" s="11">
        <v>0</v>
      </c>
      <c r="O35" s="11">
        <v>2</v>
      </c>
      <c r="P35" s="37"/>
      <c r="Q35" s="163">
        <f>L35*$J$35</f>
        <v>144</v>
      </c>
      <c r="R35" s="163">
        <f>M35*$J$35</f>
        <v>0</v>
      </c>
      <c r="S35" s="163">
        <f>N35*$J$35</f>
        <v>0</v>
      </c>
      <c r="T35" s="163">
        <f>O35*$J$35</f>
        <v>96</v>
      </c>
      <c r="U35" s="35"/>
    </row>
    <row r="36" spans="1:21">
      <c r="A36" s="10" t="s">
        <v>45</v>
      </c>
      <c r="B36" s="27"/>
      <c r="C36" s="8"/>
      <c r="D36" s="8"/>
      <c r="E36" s="12">
        <v>150</v>
      </c>
      <c r="F36" s="9"/>
      <c r="I36" s="40" t="s">
        <v>46</v>
      </c>
      <c r="J36" s="11">
        <v>48</v>
      </c>
      <c r="K36" s="42"/>
      <c r="L36" s="11">
        <v>5</v>
      </c>
      <c r="M36" s="11">
        <v>0</v>
      </c>
      <c r="N36" s="11">
        <v>0</v>
      </c>
      <c r="O36" s="11">
        <v>3</v>
      </c>
      <c r="P36" s="37"/>
      <c r="Q36" s="163">
        <f>L36*$J$36</f>
        <v>240</v>
      </c>
      <c r="R36" s="163">
        <f>M36*$J$36</f>
        <v>0</v>
      </c>
      <c r="S36" s="163">
        <f>N36*$J$36</f>
        <v>0</v>
      </c>
      <c r="T36" s="163">
        <f>O36*$J$36</f>
        <v>144</v>
      </c>
      <c r="U36" s="35"/>
    </row>
    <row r="37" spans="1:21">
      <c r="A37" s="10" t="s">
        <v>47</v>
      </c>
      <c r="B37" s="27"/>
      <c r="C37" s="8"/>
      <c r="D37" s="8"/>
      <c r="E37" s="9"/>
      <c r="F37" s="9"/>
      <c r="I37" s="40" t="s">
        <v>48</v>
      </c>
      <c r="J37" s="11">
        <v>72</v>
      </c>
      <c r="K37" s="42"/>
      <c r="L37" s="11">
        <v>4</v>
      </c>
      <c r="M37" s="11">
        <v>2</v>
      </c>
      <c r="N37" s="11">
        <v>0</v>
      </c>
      <c r="O37" s="11">
        <v>5</v>
      </c>
      <c r="P37" s="37"/>
      <c r="Q37" s="163">
        <f>L37*$J$37</f>
        <v>288</v>
      </c>
      <c r="R37" s="163">
        <f>M37*$J$37</f>
        <v>144</v>
      </c>
      <c r="S37" s="163">
        <f>N37*$J$37</f>
        <v>0</v>
      </c>
      <c r="T37" s="163">
        <f>O37*$J$37</f>
        <v>360</v>
      </c>
      <c r="U37" s="35"/>
    </row>
    <row r="38" spans="1:21">
      <c r="A38" s="33" t="s">
        <v>341</v>
      </c>
      <c r="B38" s="28"/>
      <c r="C38" s="28"/>
      <c r="D38" s="28"/>
      <c r="E38" s="28"/>
      <c r="F38" s="28"/>
      <c r="G38" s="4"/>
      <c r="I38" s="40" t="s">
        <v>49</v>
      </c>
      <c r="J38" s="11">
        <v>48</v>
      </c>
      <c r="K38" s="42"/>
      <c r="L38" s="11">
        <v>4</v>
      </c>
      <c r="M38" s="11">
        <v>4</v>
      </c>
      <c r="N38" s="11">
        <v>0</v>
      </c>
      <c r="O38" s="11">
        <v>6</v>
      </c>
      <c r="P38" s="37"/>
      <c r="Q38" s="163">
        <f>L38*$J$38</f>
        <v>192</v>
      </c>
      <c r="R38" s="163">
        <f>M38*$J$38</f>
        <v>192</v>
      </c>
      <c r="S38" s="163">
        <f>N38*$J$38</f>
        <v>0</v>
      </c>
      <c r="T38" s="163">
        <f>O38*$J$38</f>
        <v>288</v>
      </c>
      <c r="U38" s="35"/>
    </row>
    <row r="39" spans="1:21">
      <c r="I39" s="40" t="s">
        <v>50</v>
      </c>
      <c r="J39" s="11">
        <v>156</v>
      </c>
      <c r="K39" s="42"/>
      <c r="L39" s="11">
        <v>7</v>
      </c>
      <c r="M39" s="11">
        <v>4</v>
      </c>
      <c r="N39" s="11">
        <v>0</v>
      </c>
      <c r="O39" s="11">
        <v>9</v>
      </c>
      <c r="P39" s="37"/>
      <c r="Q39" s="163">
        <f>L39*$J$39</f>
        <v>1092</v>
      </c>
      <c r="R39" s="163">
        <f>M39*$J$39</f>
        <v>624</v>
      </c>
      <c r="S39" s="163">
        <f>N39*$J$39</f>
        <v>0</v>
      </c>
      <c r="T39" s="163">
        <f>O39*$J$39</f>
        <v>1404</v>
      </c>
      <c r="U39" s="35"/>
    </row>
    <row r="40" spans="1:21">
      <c r="A40" s="13" t="s">
        <v>51</v>
      </c>
      <c r="B40" s="14"/>
      <c r="C40" s="15"/>
      <c r="D40" s="15"/>
      <c r="E40" s="16"/>
      <c r="F40" s="16"/>
      <c r="G40" s="92"/>
      <c r="H40" s="17"/>
      <c r="I40" s="38" t="s">
        <v>5</v>
      </c>
      <c r="J40" s="38" t="s">
        <v>5</v>
      </c>
      <c r="K40" s="206" t="s">
        <v>5</v>
      </c>
      <c r="L40" s="38" t="s">
        <v>5</v>
      </c>
      <c r="M40" s="38" t="s">
        <v>5</v>
      </c>
      <c r="N40" s="38" t="s">
        <v>5</v>
      </c>
      <c r="O40" s="38" t="s">
        <v>5</v>
      </c>
      <c r="P40" s="38" t="s">
        <v>5</v>
      </c>
      <c r="Q40" s="38" t="s">
        <v>5</v>
      </c>
      <c r="R40" s="38" t="s">
        <v>5</v>
      </c>
      <c r="S40" s="38" t="s">
        <v>5</v>
      </c>
      <c r="T40" s="38" t="s">
        <v>5</v>
      </c>
      <c r="U40" s="35"/>
    </row>
    <row r="41" spans="1:21">
      <c r="A41" s="18" t="s">
        <v>5</v>
      </c>
      <c r="B41" s="19" t="s">
        <v>5</v>
      </c>
      <c r="C41" s="20" t="s">
        <v>5</v>
      </c>
      <c r="D41" s="20" t="s">
        <v>5</v>
      </c>
      <c r="E41" s="21" t="s">
        <v>5</v>
      </c>
      <c r="F41" s="21" t="s">
        <v>5</v>
      </c>
      <c r="G41" s="18" t="s">
        <v>5</v>
      </c>
      <c r="H41" s="17"/>
      <c r="I41" s="37" t="s">
        <v>43</v>
      </c>
      <c r="J41" s="37" t="s">
        <v>16</v>
      </c>
      <c r="K41" s="202">
        <f>SUM(J35:J39)</f>
        <v>372</v>
      </c>
      <c r="L41" s="37"/>
      <c r="M41" s="37"/>
      <c r="N41" s="37"/>
      <c r="O41" s="37"/>
      <c r="P41" s="37"/>
      <c r="Q41" s="37"/>
      <c r="R41" s="37"/>
      <c r="S41" s="37"/>
      <c r="T41" s="37"/>
      <c r="U41" s="35"/>
    </row>
    <row r="42" spans="1:21">
      <c r="A42" s="67"/>
      <c r="B42" s="67" t="s">
        <v>52</v>
      </c>
      <c r="C42" s="68" t="s">
        <v>53</v>
      </c>
      <c r="D42" s="68" t="s">
        <v>54</v>
      </c>
      <c r="E42" s="69" t="s">
        <v>55</v>
      </c>
      <c r="F42" s="69" t="s">
        <v>55</v>
      </c>
      <c r="G42" s="67" t="s">
        <v>231</v>
      </c>
      <c r="H42" s="17"/>
      <c r="I42" s="37"/>
      <c r="J42" s="37"/>
      <c r="K42" s="202"/>
      <c r="L42" s="37"/>
      <c r="M42" s="37"/>
      <c r="N42" s="37"/>
      <c r="O42" s="37"/>
      <c r="P42" s="37"/>
      <c r="Q42" s="37"/>
      <c r="R42" s="37"/>
      <c r="S42" s="37"/>
      <c r="T42" s="37"/>
      <c r="U42" s="35"/>
    </row>
    <row r="43" spans="1:21">
      <c r="A43" s="67" t="s">
        <v>56</v>
      </c>
      <c r="B43" s="70" t="s">
        <v>54</v>
      </c>
      <c r="C43" s="71" t="s">
        <v>57</v>
      </c>
      <c r="D43" s="68" t="s">
        <v>58</v>
      </c>
      <c r="E43" s="69" t="s">
        <v>59</v>
      </c>
      <c r="F43" s="69" t="s">
        <v>60</v>
      </c>
      <c r="G43" s="67" t="s">
        <v>61</v>
      </c>
      <c r="H43" s="17"/>
      <c r="I43" s="37"/>
      <c r="J43" s="37"/>
      <c r="K43" s="202"/>
      <c r="L43" s="37"/>
      <c r="M43" s="37"/>
      <c r="N43" s="37"/>
      <c r="O43" s="37"/>
      <c r="P43" s="37"/>
      <c r="Q43" s="37"/>
      <c r="R43" s="37"/>
      <c r="S43" s="37"/>
      <c r="T43" s="37"/>
      <c r="U43" s="35"/>
    </row>
    <row r="44" spans="1:21">
      <c r="A44" s="67" t="s">
        <v>62</v>
      </c>
      <c r="B44" s="70" t="s">
        <v>63</v>
      </c>
      <c r="C44" s="68" t="s">
        <v>54</v>
      </c>
      <c r="D44" s="68"/>
      <c r="E44" s="69" t="s">
        <v>64</v>
      </c>
      <c r="F44" s="69" t="s">
        <v>65</v>
      </c>
      <c r="G44" s="67"/>
      <c r="H44" s="17"/>
      <c r="I44" s="37"/>
      <c r="J44" s="37"/>
      <c r="K44" s="37"/>
      <c r="L44" s="37"/>
      <c r="M44" s="37"/>
      <c r="N44" s="37"/>
      <c r="O44" s="37" t="s">
        <v>90</v>
      </c>
      <c r="P44" s="37"/>
      <c r="Q44" s="165">
        <f>SUM(Q14:Q39)</f>
        <v>6266</v>
      </c>
      <c r="R44" s="165">
        <f>SUM(R14:R39)</f>
        <v>3020</v>
      </c>
      <c r="S44" s="165">
        <f>SUM(S14:S39)</f>
        <v>820</v>
      </c>
      <c r="T44" s="165">
        <f>SUM(T14:T39)</f>
        <v>6870</v>
      </c>
      <c r="U44" s="35"/>
    </row>
    <row r="45" spans="1:21">
      <c r="A45" s="67"/>
      <c r="B45" s="70"/>
      <c r="C45" s="67" t="s">
        <v>66</v>
      </c>
      <c r="D45" s="68" t="s">
        <v>67</v>
      </c>
      <c r="E45" s="69" t="s">
        <v>68</v>
      </c>
      <c r="F45" s="69" t="s">
        <v>69</v>
      </c>
      <c r="G45" s="67"/>
      <c r="H45" s="17"/>
      <c r="P45" s="45"/>
    </row>
    <row r="46" spans="1:21">
      <c r="A46" s="67" t="s">
        <v>67</v>
      </c>
      <c r="B46" s="70" t="s">
        <v>67</v>
      </c>
      <c r="C46" s="68"/>
      <c r="D46" s="68" t="s">
        <v>70</v>
      </c>
      <c r="E46" s="69" t="s">
        <v>71</v>
      </c>
      <c r="F46" s="69" t="s">
        <v>71</v>
      </c>
      <c r="G46" s="67" t="s">
        <v>72</v>
      </c>
      <c r="H46" s="17"/>
    </row>
    <row r="47" spans="1:21">
      <c r="A47" s="18" t="s">
        <v>5</v>
      </c>
      <c r="B47" s="19" t="s">
        <v>5</v>
      </c>
      <c r="C47" s="20" t="s">
        <v>5</v>
      </c>
      <c r="D47" s="20" t="s">
        <v>5</v>
      </c>
      <c r="E47" s="21" t="s">
        <v>5</v>
      </c>
      <c r="F47" s="21" t="s">
        <v>5</v>
      </c>
      <c r="G47" s="18" t="s">
        <v>5</v>
      </c>
      <c r="H47" s="17"/>
    </row>
    <row r="48" spans="1:21">
      <c r="A48" s="17">
        <v>4</v>
      </c>
      <c r="B48" s="47">
        <f t="shared" ref="B48:B52" si="0">IF(($E$19*12)/($E$32*$A48*$E$28*(1-($E$30/100)))&lt;2*$E$15,"Don't Use",($E$19*12)/($E$32*$A48*$E$28*(1-($E$30/100))))</f>
        <v>103.30578512396696</v>
      </c>
      <c r="C48" s="64">
        <f t="shared" ref="C48:C52" si="1">IF(B48="Don't Use","Don't Use",ROUND(((+$E$32/12)*($E$34/($E$36-$A48*3))+0.4),0))</f>
        <v>3</v>
      </c>
      <c r="D48" s="93">
        <f>IF(B48="Don't Use","Don't Use",((($E$19*$E$34/(1-($E$22+$E$25+$G$32)/100))/($E$28*(1-($E$30/100)))/($C48*($B48*$A48))+3*$A48)))</f>
        <v>155.35560159338684</v>
      </c>
      <c r="E48" s="22">
        <f t="shared" ref="E48:E59" si="2">IF(B48="Don't Use","Don't Use",($E$19/(1-($E$22+$E$25+$G$32)/100)*($E$34/2000)*(1+0.0225*($B48/$I$53-1))))</f>
        <v>1348.259432985803</v>
      </c>
      <c r="F48" s="22">
        <f t="shared" ref="F48:F59" si="3">IF(B48="Don't Use","Don't Use",+$E48*($E$22+$E$25+$G$32+2.25*($B48/$I$53-1))/100)</f>
        <v>280.33110747016411</v>
      </c>
      <c r="G48" s="22">
        <f t="shared" ref="G48:G59" si="4">IF(B48="Don't Use","Don't Use",($F48/$E48)*100)</f>
        <v>20.792074626865674</v>
      </c>
      <c r="H48" s="23"/>
      <c r="J48" s="95"/>
      <c r="K48" s="96"/>
      <c r="L48" s="35"/>
      <c r="M48" s="35"/>
    </row>
    <row r="49" spans="1:13">
      <c r="A49" s="17">
        <v>6</v>
      </c>
      <c r="B49" s="47">
        <f t="shared" si="0"/>
        <v>68.870523415977971</v>
      </c>
      <c r="C49" s="64">
        <f t="shared" si="1"/>
        <v>3</v>
      </c>
      <c r="D49" s="93">
        <f t="shared" ref="D49:D59" si="5">IF(B49="Don't Use","Don't Use",((($E$19*$E$34/(1-($E$22+$E$25+$G$32)/100))/($E$28*(1-($E$30/100)))/($C49*($B49*$A49))+3*$A49)))</f>
        <v>161.35560159338684</v>
      </c>
      <c r="E49" s="22">
        <f t="shared" si="2"/>
        <v>1319.229923663142</v>
      </c>
      <c r="F49" s="22">
        <f t="shared" si="3"/>
        <v>244.61259694556281</v>
      </c>
      <c r="G49" s="22">
        <f t="shared" si="4"/>
        <v>18.54207462686567</v>
      </c>
      <c r="H49" s="23"/>
      <c r="J49" s="95"/>
      <c r="K49" s="96"/>
      <c r="L49" s="35"/>
      <c r="M49" s="35"/>
    </row>
    <row r="50" spans="1:13">
      <c r="A50" s="17">
        <v>8</v>
      </c>
      <c r="B50" s="47">
        <f t="shared" si="0"/>
        <v>51.652892561983478</v>
      </c>
      <c r="C50" s="64">
        <f t="shared" si="1"/>
        <v>3</v>
      </c>
      <c r="D50" s="93">
        <f t="shared" si="5"/>
        <v>167.35560159338684</v>
      </c>
      <c r="E50" s="22">
        <f t="shared" si="2"/>
        <v>1304.7151690018118</v>
      </c>
      <c r="F50" s="22">
        <f t="shared" si="3"/>
        <v>227.24321465308211</v>
      </c>
      <c r="G50" s="22">
        <f t="shared" si="4"/>
        <v>17.41707462686567</v>
      </c>
      <c r="H50" s="23"/>
      <c r="J50" s="95"/>
      <c r="K50" s="96"/>
      <c r="L50" s="35"/>
      <c r="M50" s="35"/>
    </row>
    <row r="51" spans="1:13">
      <c r="A51" s="17">
        <v>9</v>
      </c>
      <c r="B51" s="47">
        <f t="shared" si="0"/>
        <v>45.913682277318642</v>
      </c>
      <c r="C51" s="64">
        <f t="shared" si="1"/>
        <v>3</v>
      </c>
      <c r="D51" s="93">
        <f t="shared" si="5"/>
        <v>170.35560159338684</v>
      </c>
      <c r="E51" s="22">
        <f t="shared" si="2"/>
        <v>1299.8769174480351</v>
      </c>
      <c r="F51" s="22">
        <f t="shared" si="3"/>
        <v>221.52599432889522</v>
      </c>
      <c r="G51" s="22">
        <f t="shared" si="4"/>
        <v>17.042074626865674</v>
      </c>
      <c r="H51" s="23"/>
      <c r="J51" s="95"/>
      <c r="K51" s="96"/>
      <c r="L51" s="35"/>
      <c r="M51" s="35"/>
    </row>
    <row r="52" spans="1:13">
      <c r="A52" s="17">
        <v>10</v>
      </c>
      <c r="B52" s="47">
        <f t="shared" si="0"/>
        <v>41.32231404958678</v>
      </c>
      <c r="C52" s="64">
        <f t="shared" si="1"/>
        <v>3</v>
      </c>
      <c r="D52" s="93">
        <f t="shared" si="5"/>
        <v>173.35560159338684</v>
      </c>
      <c r="E52" s="22">
        <f t="shared" si="2"/>
        <v>1296.0063162050135</v>
      </c>
      <c r="F52" s="22">
        <f t="shared" si="3"/>
        <v>216.97834462793602</v>
      </c>
      <c r="G52" s="22">
        <f t="shared" si="4"/>
        <v>16.742074626865669</v>
      </c>
      <c r="H52" s="23"/>
      <c r="J52" s="95"/>
      <c r="K52" s="96"/>
      <c r="L52" s="35"/>
      <c r="M52" s="35"/>
    </row>
    <row r="53" spans="1:13">
      <c r="A53" s="25">
        <v>12</v>
      </c>
      <c r="B53" s="47">
        <f>IF(($E$19*12)/($E$32*$A53*$E$28*(1-($E$30/100)))&lt;2*$E$15,"Don't Use",($E$19*12)/($E$32*$A53*$E$28*(1-($E$30/100))))</f>
        <v>34.435261707988985</v>
      </c>
      <c r="C53" s="64">
        <f>IF(B53="Don't Use","Don't Use",ROUND(((+$E$32/12)*($E$34/($E$36-$A53*3))+0.4),0))</f>
        <v>4</v>
      </c>
      <c r="D53" s="64">
        <f t="shared" si="5"/>
        <v>143.51670119504013</v>
      </c>
      <c r="E53" s="65">
        <f>IF(B53="Don't Use","Don't Use",($E$19/(1-($E$22+$E$25+$G$32)/100)*($E$34/2000)*(1+0.0225*(($B53/$I$53)-1))))</f>
        <v>1290.2004143404813</v>
      </c>
      <c r="F53" s="65">
        <f>IF(B53="Don't Use","Don't Use",+$E53*($E$22+$E$25+$G$32+2.25*($B53/$I$53-1))/100)</f>
        <v>210.2004143404813</v>
      </c>
      <c r="G53" s="65">
        <f t="shared" si="4"/>
        <v>16.29207462686567</v>
      </c>
      <c r="H53" s="66" t="s">
        <v>73</v>
      </c>
      <c r="I53" s="193">
        <f>($E$19*12)/($E$32*A53*$E$28*(1-($E$30/100)))</f>
        <v>34.435261707988985</v>
      </c>
      <c r="J53" s="95"/>
      <c r="K53" s="96"/>
      <c r="L53" s="97"/>
      <c r="M53" s="35"/>
    </row>
    <row r="54" spans="1:13">
      <c r="A54" s="17">
        <v>14</v>
      </c>
      <c r="B54" s="47">
        <f t="shared" ref="B54:B59" si="6">IF(($E$19*12)/($E$32*$A54*$E$28*(1-($E$30/100)))&lt;2*$E$15,"Don't Use",($E$19*12)/($E$32*$A54*$E$28*(1-($E$30/100))))</f>
        <v>29.515938606847701</v>
      </c>
      <c r="C54" s="64">
        <f t="shared" ref="C54:C59" si="7">IF(B54="Don't Use","Don't Use",ROUND(((+$E$32/12)*($E$34/($E$36-$A54*3))+0.4),0))</f>
        <v>4</v>
      </c>
      <c r="D54" s="93">
        <f t="shared" si="5"/>
        <v>149.51670119504013</v>
      </c>
      <c r="E54" s="22">
        <f t="shared" si="2"/>
        <v>1286.0533415801012</v>
      </c>
      <c r="F54" s="22">
        <f t="shared" si="3"/>
        <v>205.39102726787942</v>
      </c>
      <c r="G54" s="22">
        <f t="shared" si="4"/>
        <v>15.970646055437099</v>
      </c>
      <c r="H54" s="47"/>
      <c r="I54" s="94"/>
      <c r="J54" s="95"/>
      <c r="K54" s="96"/>
      <c r="L54" s="97"/>
      <c r="M54" s="35"/>
    </row>
    <row r="55" spans="1:13">
      <c r="A55" s="17">
        <v>16</v>
      </c>
      <c r="B55" s="47">
        <f t="shared" si="6"/>
        <v>25.826446280991739</v>
      </c>
      <c r="C55" s="64">
        <f t="shared" si="7"/>
        <v>4</v>
      </c>
      <c r="D55" s="93">
        <f t="shared" si="5"/>
        <v>155.51670119504013</v>
      </c>
      <c r="E55" s="22">
        <f t="shared" si="2"/>
        <v>1282.9430370098162</v>
      </c>
      <c r="F55" s="22">
        <f t="shared" si="3"/>
        <v>201.80148242663589</v>
      </c>
      <c r="G55" s="22">
        <f t="shared" si="4"/>
        <v>15.72957462686567</v>
      </c>
      <c r="H55" s="47"/>
      <c r="I55" s="98"/>
      <c r="J55" s="95"/>
      <c r="K55" s="96"/>
      <c r="L55" s="35"/>
      <c r="M55" s="35"/>
    </row>
    <row r="56" spans="1:13">
      <c r="A56" s="17">
        <v>18</v>
      </c>
      <c r="B56" s="47">
        <f t="shared" si="6"/>
        <v>22.956841138659321</v>
      </c>
      <c r="C56" s="64">
        <f t="shared" si="7"/>
        <v>4</v>
      </c>
      <c r="D56" s="93">
        <f t="shared" si="5"/>
        <v>161.51670119504013</v>
      </c>
      <c r="E56" s="22">
        <f t="shared" si="2"/>
        <v>1280.5239112329277</v>
      </c>
      <c r="F56" s="22">
        <f t="shared" si="3"/>
        <v>199.01998189868075</v>
      </c>
      <c r="G56" s="22">
        <f t="shared" si="4"/>
        <v>15.54207462686567</v>
      </c>
      <c r="H56" s="47"/>
      <c r="J56" s="95"/>
      <c r="K56" s="96"/>
      <c r="L56" s="35"/>
      <c r="M56" s="35"/>
    </row>
    <row r="57" spans="1:13">
      <c r="A57" s="17">
        <v>20</v>
      </c>
      <c r="B57" s="47">
        <f t="shared" si="6"/>
        <v>20.66115702479339</v>
      </c>
      <c r="C57" s="64">
        <f>IF(B57="Don't Use","Don't Use",ROUND(((+$E$32/12)*($E$34/($E$36-$A57*3))+0.4),0))</f>
        <v>4</v>
      </c>
      <c r="D57" s="93">
        <f t="shared" si="5"/>
        <v>167.51670119504013</v>
      </c>
      <c r="E57" s="22">
        <f t="shared" si="2"/>
        <v>1278.5886106114169</v>
      </c>
      <c r="F57" s="22">
        <f t="shared" si="3"/>
        <v>196.80131311591421</v>
      </c>
      <c r="G57" s="22">
        <f t="shared" si="4"/>
        <v>15.392074626865671</v>
      </c>
      <c r="H57" s="47"/>
      <c r="J57" s="95"/>
      <c r="K57" s="96"/>
      <c r="L57" s="35"/>
      <c r="M57" s="35"/>
    </row>
    <row r="58" spans="1:13">
      <c r="A58" s="17">
        <v>22</v>
      </c>
      <c r="B58" s="47">
        <f t="shared" si="6"/>
        <v>18.782870022539445</v>
      </c>
      <c r="C58" s="64">
        <f t="shared" si="7"/>
        <v>5</v>
      </c>
      <c r="D58" s="93">
        <f t="shared" si="5"/>
        <v>152.0133609560321</v>
      </c>
      <c r="E58" s="22">
        <f t="shared" si="2"/>
        <v>1277.005182830181</v>
      </c>
      <c r="F58" s="22">
        <f t="shared" si="3"/>
        <v>194.99035709669042</v>
      </c>
      <c r="G58" s="22">
        <f t="shared" si="4"/>
        <v>15.269347354138397</v>
      </c>
      <c r="H58" s="47"/>
      <c r="J58" s="95"/>
      <c r="K58" s="96"/>
      <c r="L58" s="35"/>
      <c r="M58" s="35"/>
    </row>
    <row r="59" spans="1:13">
      <c r="A59" s="17">
        <v>24</v>
      </c>
      <c r="B59" s="47">
        <f t="shared" si="6"/>
        <v>17.217630853994493</v>
      </c>
      <c r="C59" s="64">
        <f t="shared" si="7"/>
        <v>5</v>
      </c>
      <c r="D59" s="93">
        <f t="shared" si="5"/>
        <v>158.0133609560321</v>
      </c>
      <c r="E59" s="22">
        <f t="shared" si="2"/>
        <v>1275.6856596791508</v>
      </c>
      <c r="F59" s="22">
        <f t="shared" si="3"/>
        <v>193.48419600776043</v>
      </c>
      <c r="G59" s="22">
        <f t="shared" si="4"/>
        <v>15.16707462686567</v>
      </c>
      <c r="H59" s="23"/>
      <c r="J59" s="95"/>
      <c r="K59" s="96"/>
      <c r="L59" s="35"/>
      <c r="M59" s="35"/>
    </row>
    <row r="60" spans="1:13">
      <c r="A60" s="18" t="s">
        <v>5</v>
      </c>
      <c r="B60" s="19" t="s">
        <v>5</v>
      </c>
      <c r="C60" s="20" t="s">
        <v>5</v>
      </c>
      <c r="D60" s="20" t="s">
        <v>5</v>
      </c>
      <c r="E60" s="21" t="s">
        <v>5</v>
      </c>
      <c r="F60" s="21" t="s">
        <v>5</v>
      </c>
      <c r="G60" s="18" t="s">
        <v>5</v>
      </c>
      <c r="H60" s="17"/>
    </row>
    <row r="61" spans="1:13">
      <c r="A61" s="5" t="s">
        <v>74</v>
      </c>
      <c r="B61" s="1"/>
      <c r="C61" s="2"/>
      <c r="D61" s="2"/>
      <c r="E61" s="3"/>
      <c r="F61" s="3"/>
    </row>
    <row r="62" spans="1:13">
      <c r="A62" s="5" t="s">
        <v>86</v>
      </c>
      <c r="B62" s="1"/>
      <c r="C62" s="2"/>
      <c r="D62" s="2"/>
      <c r="E62" s="3"/>
      <c r="F62" s="3"/>
    </row>
    <row r="63" spans="1:13">
      <c r="B63" s="1"/>
      <c r="C63" s="2"/>
      <c r="D63" s="2"/>
      <c r="E63" s="3"/>
      <c r="F63" s="3"/>
    </row>
    <row r="64" spans="1:13">
      <c r="B64" s="1"/>
      <c r="C64" s="2"/>
      <c r="D64" s="2"/>
      <c r="E64" s="3"/>
      <c r="F64" s="3"/>
    </row>
    <row r="66" spans="1:4">
      <c r="A66" s="35"/>
      <c r="B66" s="89"/>
    </row>
    <row r="67" spans="1:4">
      <c r="A67" s="35"/>
      <c r="B67" s="35"/>
      <c r="C67" s="35"/>
      <c r="D67" s="95"/>
    </row>
    <row r="68" spans="1:4">
      <c r="A68" s="35"/>
      <c r="B68" s="35"/>
      <c r="C68" s="35"/>
      <c r="D68" s="95"/>
    </row>
  </sheetData>
  <sheetProtection sheet="1" objects="1" scenarios="1"/>
  <phoneticPr fontId="3" type="noConversion"/>
  <dataValidations count="1">
    <dataValidation type="list" allowBlank="1" showInputMessage="1" showErrorMessage="1" sqref="E17" xr:uid="{00000000-0002-0000-0000-000000000000}">
      <formula1>"Hay 1 Silage, Hay 2 Silage, Hay 3 Silage, Corn Silage, My Silage"</formula1>
    </dataValidation>
  </dataValidations>
  <pageMargins left="0.5" right="0.5" top="0.5" bottom="0.5" header="0.5" footer="0.5"/>
  <pageSetup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T64"/>
  <sheetViews>
    <sheetView zoomScale="80" zoomScaleNormal="80" zoomScalePageLayoutView="110" workbookViewId="0"/>
  </sheetViews>
  <sheetFormatPr defaultColWidth="8.85546875" defaultRowHeight="12.75"/>
  <cols>
    <col min="1" max="1" width="19.85546875" customWidth="1"/>
    <col min="2" max="2" width="19.42578125" customWidth="1"/>
    <col min="3" max="3" width="17.28515625" customWidth="1"/>
    <col min="4" max="4" width="19.42578125" customWidth="1"/>
    <col min="5" max="5" width="15.42578125" customWidth="1"/>
    <col min="6" max="6" width="13.42578125" customWidth="1"/>
    <col min="7" max="7" width="12.42578125" customWidth="1"/>
    <col min="8" max="8" width="7.42578125" customWidth="1"/>
    <col min="9" max="9" width="19.42578125" customWidth="1"/>
    <col min="16" max="16" width="20.140625" customWidth="1"/>
  </cols>
  <sheetData>
    <row r="1" spans="1:20">
      <c r="A1" s="45" t="s">
        <v>76</v>
      </c>
      <c r="B1" s="1"/>
      <c r="C1" s="2"/>
      <c r="D1" s="2"/>
      <c r="E1" s="3"/>
      <c r="F1" s="3"/>
    </row>
    <row r="2" spans="1:20">
      <c r="B2" s="7" t="s">
        <v>232</v>
      </c>
      <c r="C2" s="2"/>
      <c r="D2" s="2"/>
      <c r="E2" s="3"/>
      <c r="F2" s="3"/>
    </row>
    <row r="3" spans="1:20">
      <c r="A3" t="s">
        <v>1</v>
      </c>
      <c r="B3" s="1"/>
      <c r="C3" s="2"/>
      <c r="D3" s="2"/>
      <c r="E3" s="3"/>
      <c r="F3" s="3"/>
    </row>
    <row r="4" spans="1:20">
      <c r="A4" t="s">
        <v>2</v>
      </c>
      <c r="B4" s="1"/>
      <c r="C4" s="2"/>
      <c r="D4" s="2"/>
      <c r="E4" s="3"/>
      <c r="F4" s="3"/>
    </row>
    <row r="5" spans="1:20">
      <c r="A5" t="s">
        <v>3</v>
      </c>
      <c r="B5" s="1"/>
      <c r="C5" s="2"/>
      <c r="D5" s="2"/>
      <c r="E5" s="3"/>
      <c r="F5" s="3"/>
    </row>
    <row r="6" spans="1:20">
      <c r="A6" t="s">
        <v>4</v>
      </c>
      <c r="B6" s="1"/>
      <c r="C6" s="2"/>
      <c r="D6" s="2"/>
      <c r="E6" s="3"/>
      <c r="F6" s="3"/>
      <c r="H6" s="35"/>
      <c r="I6" s="36" t="s">
        <v>403</v>
      </c>
      <c r="J6" s="37"/>
      <c r="K6" s="37"/>
      <c r="L6" s="37"/>
      <c r="M6" s="37"/>
      <c r="N6" s="37"/>
      <c r="O6" s="37"/>
      <c r="P6" s="37"/>
      <c r="Q6" s="37"/>
      <c r="R6" s="37"/>
      <c r="S6" s="37"/>
      <c r="T6" s="37"/>
    </row>
    <row r="7" spans="1:20">
      <c r="A7" t="s">
        <v>89</v>
      </c>
      <c r="B7" s="1"/>
      <c r="C7" s="2"/>
      <c r="D7" s="2"/>
      <c r="E7" s="3"/>
      <c r="F7" s="3"/>
      <c r="H7" s="35"/>
      <c r="I7" s="38" t="s">
        <v>5</v>
      </c>
      <c r="J7" s="38" t="s">
        <v>5</v>
      </c>
      <c r="K7" s="38" t="s">
        <v>5</v>
      </c>
      <c r="L7" s="38" t="s">
        <v>5</v>
      </c>
      <c r="M7" s="38" t="s">
        <v>5</v>
      </c>
      <c r="N7" s="38" t="s">
        <v>5</v>
      </c>
      <c r="O7" s="38" t="s">
        <v>5</v>
      </c>
      <c r="P7" s="38" t="s">
        <v>5</v>
      </c>
      <c r="Q7" s="38" t="s">
        <v>5</v>
      </c>
      <c r="R7" s="38" t="s">
        <v>5</v>
      </c>
      <c r="S7" s="38" t="s">
        <v>5</v>
      </c>
      <c r="T7" s="38" t="s">
        <v>5</v>
      </c>
    </row>
    <row r="8" spans="1:20">
      <c r="A8" t="s">
        <v>75</v>
      </c>
      <c r="B8" s="1"/>
      <c r="C8" s="2"/>
      <c r="D8" s="2"/>
      <c r="E8" s="3"/>
      <c r="F8" s="3"/>
      <c r="H8" s="35"/>
      <c r="I8" s="37"/>
      <c r="J8" s="37"/>
      <c r="K8" s="37"/>
      <c r="L8" s="37" t="s">
        <v>7</v>
      </c>
      <c r="M8" s="37" t="s">
        <v>8</v>
      </c>
      <c r="N8" s="37" t="s">
        <v>9</v>
      </c>
      <c r="O8" s="37" t="s">
        <v>10</v>
      </c>
      <c r="P8" s="37"/>
      <c r="Q8" s="37" t="s">
        <v>7</v>
      </c>
      <c r="R8" s="37" t="s">
        <v>8</v>
      </c>
      <c r="S8" s="37" t="s">
        <v>9</v>
      </c>
      <c r="T8" s="37" t="s">
        <v>10</v>
      </c>
    </row>
    <row r="9" spans="1:20">
      <c r="B9" s="1"/>
      <c r="C9" s="2"/>
      <c r="E9" s="44"/>
      <c r="F9" s="44"/>
      <c r="G9" s="35"/>
      <c r="H9" s="35"/>
      <c r="I9" s="37"/>
      <c r="J9" s="37" t="s">
        <v>12</v>
      </c>
      <c r="K9" s="37"/>
      <c r="L9" s="37" t="s">
        <v>13</v>
      </c>
      <c r="M9" s="37" t="s">
        <v>13</v>
      </c>
      <c r="N9" s="37" t="s">
        <v>13</v>
      </c>
      <c r="O9" s="37" t="s">
        <v>13</v>
      </c>
      <c r="P9" s="37"/>
      <c r="Q9" s="37" t="s">
        <v>13</v>
      </c>
      <c r="R9" s="37" t="s">
        <v>13</v>
      </c>
      <c r="S9" s="37" t="s">
        <v>13</v>
      </c>
      <c r="T9" s="37" t="s">
        <v>13</v>
      </c>
    </row>
    <row r="10" spans="1:20">
      <c r="B10" s="1"/>
      <c r="C10" s="2"/>
      <c r="D10" s="2"/>
      <c r="E10" s="3"/>
      <c r="F10" s="3"/>
      <c r="H10" s="35"/>
      <c r="I10" s="37"/>
      <c r="J10" s="37" t="s">
        <v>14</v>
      </c>
      <c r="K10" s="37"/>
      <c r="L10" s="37"/>
      <c r="M10" s="37"/>
      <c r="N10" s="37"/>
      <c r="O10" s="37"/>
      <c r="P10" s="37"/>
      <c r="Q10" s="37"/>
      <c r="R10" s="37"/>
      <c r="S10" s="37"/>
      <c r="T10" s="37"/>
    </row>
    <row r="11" spans="1:20">
      <c r="B11" s="1"/>
      <c r="C11" s="2"/>
      <c r="D11" s="2"/>
      <c r="E11" s="3"/>
      <c r="F11" s="3"/>
      <c r="H11" s="35"/>
      <c r="I11" s="37" t="s">
        <v>265</v>
      </c>
      <c r="J11" s="37" t="s">
        <v>15</v>
      </c>
      <c r="K11" s="37" t="s">
        <v>16</v>
      </c>
      <c r="L11" s="39" t="s">
        <v>84</v>
      </c>
      <c r="M11" s="37"/>
      <c r="N11" s="37"/>
      <c r="O11" s="37"/>
      <c r="P11" s="37"/>
      <c r="Q11" s="39" t="s">
        <v>85</v>
      </c>
      <c r="R11" s="37"/>
      <c r="S11" s="37"/>
      <c r="T11" s="37"/>
    </row>
    <row r="12" spans="1:20">
      <c r="B12" s="1"/>
      <c r="C12" s="8" t="s">
        <v>88</v>
      </c>
      <c r="D12" s="8"/>
      <c r="E12" s="9"/>
      <c r="F12" s="9"/>
      <c r="G12" s="35"/>
      <c r="H12" s="35"/>
      <c r="I12" s="38" t="s">
        <v>5</v>
      </c>
      <c r="J12" s="38" t="s">
        <v>5</v>
      </c>
      <c r="K12" s="38" t="s">
        <v>5</v>
      </c>
      <c r="L12" s="38" t="s">
        <v>5</v>
      </c>
      <c r="M12" s="38" t="s">
        <v>5</v>
      </c>
      <c r="N12" s="38" t="s">
        <v>5</v>
      </c>
      <c r="O12" s="38" t="s">
        <v>5</v>
      </c>
      <c r="P12" s="38" t="s">
        <v>5</v>
      </c>
      <c r="Q12" s="38" t="s">
        <v>5</v>
      </c>
      <c r="R12" s="38" t="s">
        <v>5</v>
      </c>
      <c r="S12" s="38" t="s">
        <v>5</v>
      </c>
      <c r="T12" s="38" t="s">
        <v>5</v>
      </c>
    </row>
    <row r="13" spans="1:20">
      <c r="A13" s="26" t="s">
        <v>21</v>
      </c>
      <c r="B13" s="27"/>
      <c r="C13" s="8"/>
      <c r="D13" s="8"/>
      <c r="E13" s="9"/>
      <c r="F13" s="9"/>
      <c r="H13" s="35"/>
      <c r="I13" s="37" t="s">
        <v>19</v>
      </c>
      <c r="J13" s="37"/>
      <c r="K13" s="37">
        <f>SUM(J14:J17)</f>
        <v>68</v>
      </c>
      <c r="L13" s="37"/>
      <c r="M13" s="37"/>
      <c r="N13" s="37"/>
      <c r="O13" s="37"/>
      <c r="P13" s="37"/>
      <c r="Q13" s="37"/>
      <c r="R13" s="37"/>
      <c r="S13" s="37"/>
      <c r="T13" s="37"/>
    </row>
    <row r="14" spans="1:20">
      <c r="A14" s="33" t="s">
        <v>92</v>
      </c>
      <c r="B14" s="33" t="s">
        <v>92</v>
      </c>
      <c r="C14" s="33" t="s">
        <v>92</v>
      </c>
      <c r="D14" s="33" t="s">
        <v>92</v>
      </c>
      <c r="E14" s="33" t="s">
        <v>92</v>
      </c>
      <c r="F14" s="33" t="s">
        <v>92</v>
      </c>
      <c r="H14" s="35"/>
      <c r="I14" s="40" t="s">
        <v>20</v>
      </c>
      <c r="J14" s="11">
        <v>8</v>
      </c>
      <c r="K14" s="42"/>
      <c r="L14" s="11">
        <v>0</v>
      </c>
      <c r="M14" s="11">
        <v>0</v>
      </c>
      <c r="N14" s="11">
        <v>9.1</v>
      </c>
      <c r="O14" s="11">
        <v>0</v>
      </c>
      <c r="P14" s="37"/>
      <c r="Q14" s="163">
        <f>L14*$J$14</f>
        <v>0</v>
      </c>
      <c r="R14" s="163">
        <f>M14*$J$14</f>
        <v>0</v>
      </c>
      <c r="S14" s="163">
        <f>N14*$J$14</f>
        <v>72.8</v>
      </c>
      <c r="T14" s="163">
        <f>O14*$J$14</f>
        <v>0</v>
      </c>
    </row>
    <row r="15" spans="1:20">
      <c r="A15" s="10" t="s">
        <v>94</v>
      </c>
      <c r="B15" s="27"/>
      <c r="C15" s="8"/>
      <c r="D15" s="8"/>
      <c r="E15" s="12">
        <v>2.7</v>
      </c>
      <c r="F15" s="9"/>
      <c r="G15" s="35"/>
      <c r="H15" s="35"/>
      <c r="I15" s="40" t="s">
        <v>22</v>
      </c>
      <c r="J15" s="11">
        <v>22</v>
      </c>
      <c r="K15" s="42"/>
      <c r="L15" s="11">
        <v>0</v>
      </c>
      <c r="M15" s="11">
        <v>4.5</v>
      </c>
      <c r="N15" s="11">
        <v>6.8</v>
      </c>
      <c r="O15" s="11">
        <v>0</v>
      </c>
      <c r="P15" s="37"/>
      <c r="Q15" s="163">
        <f>L15*$J$15</f>
        <v>0</v>
      </c>
      <c r="R15" s="163">
        <f>M15*$J$15</f>
        <v>99</v>
      </c>
      <c r="S15" s="163">
        <f>N15*$J$15</f>
        <v>149.6</v>
      </c>
      <c r="T15" s="163">
        <f>O15*$J$15</f>
        <v>0</v>
      </c>
    </row>
    <row r="16" spans="1:20">
      <c r="A16" s="33"/>
      <c r="B16" s="29"/>
      <c r="C16" s="30"/>
      <c r="D16" s="30"/>
      <c r="E16" s="31"/>
      <c r="F16" s="31"/>
      <c r="G16" s="34"/>
      <c r="H16" s="35"/>
      <c r="I16" s="40" t="s">
        <v>23</v>
      </c>
      <c r="J16" s="11">
        <v>22</v>
      </c>
      <c r="K16" s="42"/>
      <c r="L16" s="11">
        <v>0</v>
      </c>
      <c r="M16" s="11">
        <v>4.4000000000000004</v>
      </c>
      <c r="N16" s="11">
        <v>6.8</v>
      </c>
      <c r="O16" s="11">
        <v>0</v>
      </c>
      <c r="P16" s="37"/>
      <c r="Q16" s="163">
        <f>L16*$J$16</f>
        <v>0</v>
      </c>
      <c r="R16" s="163">
        <f>M16*$J$16</f>
        <v>96.800000000000011</v>
      </c>
      <c r="S16" s="163">
        <f>N16*$J$16</f>
        <v>149.6</v>
      </c>
      <c r="T16" s="163">
        <f>O16*$J$16</f>
        <v>0</v>
      </c>
    </row>
    <row r="17" spans="1:20">
      <c r="A17" s="10" t="s">
        <v>24</v>
      </c>
      <c r="B17" s="27"/>
      <c r="C17" s="8"/>
      <c r="D17" s="8"/>
      <c r="E17" s="121" t="s">
        <v>230</v>
      </c>
      <c r="F17" s="53" t="s">
        <v>229</v>
      </c>
      <c r="I17" s="40" t="s">
        <v>25</v>
      </c>
      <c r="J17" s="11">
        <v>16</v>
      </c>
      <c r="K17" s="42"/>
      <c r="L17" s="11">
        <v>0</v>
      </c>
      <c r="M17" s="11">
        <v>9.1</v>
      </c>
      <c r="N17" s="11">
        <v>0</v>
      </c>
      <c r="O17" s="11">
        <v>1.4</v>
      </c>
      <c r="P17" s="37"/>
      <c r="Q17" s="163">
        <f>L17*$J$17</f>
        <v>0</v>
      </c>
      <c r="R17" s="163">
        <f>M17*$J$17</f>
        <v>145.6</v>
      </c>
      <c r="S17" s="163">
        <f>N17*$J$17</f>
        <v>0</v>
      </c>
      <c r="T17" s="163">
        <f>O17*$J$17</f>
        <v>22.4</v>
      </c>
    </row>
    <row r="18" spans="1:20">
      <c r="A18" s="10"/>
      <c r="B18" s="27"/>
      <c r="C18" s="8"/>
      <c r="D18" s="8"/>
      <c r="E18" s="32"/>
      <c r="F18" s="53" t="s">
        <v>228</v>
      </c>
      <c r="I18" s="37"/>
      <c r="J18" s="43"/>
      <c r="K18" s="42"/>
      <c r="L18" s="43"/>
      <c r="M18" s="43"/>
      <c r="N18" s="43"/>
      <c r="O18" s="43"/>
      <c r="P18" s="37"/>
      <c r="Q18" s="163"/>
      <c r="R18" s="163"/>
      <c r="S18" s="163"/>
      <c r="T18" s="163"/>
    </row>
    <row r="19" spans="1:20">
      <c r="A19" s="10" t="s">
        <v>264</v>
      </c>
      <c r="B19" s="27"/>
      <c r="C19" s="8"/>
      <c r="D19" s="8"/>
      <c r="E19" s="161">
        <f>IF(E17="Corn Silage",T44,IF(E17="Hay 1 Silage",Q44, IF(E17="Hay 2 Silage",R44,IF(E17="Hay 3 Silage", S44,IF(E17="My Silage",F21)))))</f>
        <v>2721</v>
      </c>
      <c r="F19" s="54" t="str">
        <f>IF(E17="My Silage", " ", "From Silage Dry Matter Calculator")</f>
        <v xml:space="preserve"> </v>
      </c>
      <c r="G19" s="55"/>
      <c r="H19" s="55"/>
      <c r="I19" s="37" t="s">
        <v>27</v>
      </c>
      <c r="J19" s="11">
        <v>20</v>
      </c>
      <c r="K19" s="202">
        <f>J19</f>
        <v>20</v>
      </c>
      <c r="L19" s="11">
        <v>6.8</v>
      </c>
      <c r="M19" s="11">
        <v>4.5</v>
      </c>
      <c r="N19" s="11">
        <v>0</v>
      </c>
      <c r="O19" s="11">
        <v>1.4</v>
      </c>
      <c r="P19" s="37"/>
      <c r="Q19" s="163">
        <f>L19*$J$19</f>
        <v>136</v>
      </c>
      <c r="R19" s="163">
        <f>M19*$J$19</f>
        <v>90</v>
      </c>
      <c r="S19" s="163">
        <f>N19*$J$19</f>
        <v>0</v>
      </c>
      <c r="T19" s="163">
        <f>O19*$J$19</f>
        <v>28</v>
      </c>
    </row>
    <row r="20" spans="1:20">
      <c r="A20" s="10"/>
      <c r="B20" s="27"/>
      <c r="C20" s="8"/>
      <c r="D20" s="8"/>
      <c r="E20" s="32"/>
      <c r="F20" s="54" t="str">
        <f>IF(E17="My Silage", " ", "Table, Row 44")</f>
        <v xml:space="preserve"> </v>
      </c>
      <c r="G20" s="55"/>
      <c r="H20" s="55"/>
      <c r="I20" s="37"/>
      <c r="J20" s="43"/>
      <c r="K20" s="202"/>
      <c r="L20" s="43"/>
      <c r="M20" s="43"/>
      <c r="N20" s="43"/>
      <c r="O20" s="43"/>
      <c r="P20" s="37"/>
      <c r="Q20" s="163"/>
      <c r="R20" s="163"/>
      <c r="S20" s="163"/>
      <c r="T20" s="163"/>
    </row>
    <row r="21" spans="1:20">
      <c r="A21" s="59" t="str">
        <f>IF(E17="My Silage", "My Silage, if not from Silage Dry Matter Calculator Table (Row 44)  (Kg DM/herd/day) =", "  ")</f>
        <v>My Silage, if not from Silage Dry Matter Calculator Table (Row 44)  (Kg DM/herd/day) =</v>
      </c>
      <c r="B21" s="56"/>
      <c r="C21" s="56"/>
      <c r="D21" s="8"/>
      <c r="E21" s="32"/>
      <c r="F21" s="63">
        <v>2721</v>
      </c>
      <c r="G21" s="58" t="str">
        <f>IF(E17="My Silage","My Silage","   ")</f>
        <v>My Silage</v>
      </c>
      <c r="I21" s="37" t="s">
        <v>28</v>
      </c>
      <c r="J21" s="11">
        <v>6</v>
      </c>
      <c r="K21" s="202">
        <f>J21</f>
        <v>6</v>
      </c>
      <c r="L21" s="11">
        <v>4.5</v>
      </c>
      <c r="M21" s="11">
        <v>2.2999999999999998</v>
      </c>
      <c r="N21" s="11">
        <v>0</v>
      </c>
      <c r="O21" s="11">
        <v>4.5</v>
      </c>
      <c r="P21" s="37"/>
      <c r="Q21" s="163">
        <f>L21*$J21</f>
        <v>27</v>
      </c>
      <c r="R21" s="163">
        <f>M21*$J21</f>
        <v>13.799999999999999</v>
      </c>
      <c r="S21" s="163">
        <f>N21*$J21</f>
        <v>0</v>
      </c>
      <c r="T21" s="163">
        <f>O21*$J21</f>
        <v>27</v>
      </c>
    </row>
    <row r="22" spans="1:20">
      <c r="A22" s="10" t="s">
        <v>29</v>
      </c>
      <c r="B22" s="27"/>
      <c r="C22" s="8"/>
      <c r="D22" s="8"/>
      <c r="E22" s="12">
        <v>10</v>
      </c>
      <c r="F22" s="9"/>
      <c r="G22" s="35"/>
      <c r="H22" s="35"/>
      <c r="I22" s="37"/>
      <c r="J22" s="43"/>
      <c r="K22" s="202"/>
      <c r="L22" s="43"/>
      <c r="M22" s="43"/>
      <c r="N22" s="43"/>
      <c r="O22" s="43"/>
      <c r="P22" s="37"/>
      <c r="Q22" s="163"/>
      <c r="R22" s="163"/>
      <c r="S22" s="163"/>
      <c r="T22" s="163"/>
    </row>
    <row r="23" spans="1:20">
      <c r="A23" s="10" t="s">
        <v>30</v>
      </c>
      <c r="B23" s="27"/>
      <c r="C23" s="8"/>
      <c r="D23" s="8"/>
      <c r="E23" s="32"/>
      <c r="F23" s="9"/>
      <c r="G23" s="35"/>
      <c r="H23" s="35"/>
      <c r="I23" s="37" t="s">
        <v>31</v>
      </c>
      <c r="J23" s="11">
        <v>110</v>
      </c>
      <c r="K23" s="202">
        <f>J23</f>
        <v>110</v>
      </c>
      <c r="L23" s="11">
        <v>4.5</v>
      </c>
      <c r="M23" s="11">
        <v>0</v>
      </c>
      <c r="N23" s="11">
        <v>0</v>
      </c>
      <c r="O23" s="11">
        <v>6.8</v>
      </c>
      <c r="P23" s="37"/>
      <c r="Q23" s="163">
        <f>L23*$J$23</f>
        <v>495</v>
      </c>
      <c r="R23" s="163">
        <f>M23*$J$23</f>
        <v>0</v>
      </c>
      <c r="S23" s="163">
        <f>N23*$J$23</f>
        <v>0</v>
      </c>
      <c r="T23" s="163">
        <f>O23*$J$23</f>
        <v>748</v>
      </c>
    </row>
    <row r="24" spans="1:20">
      <c r="A24" s="10"/>
      <c r="B24" s="27"/>
      <c r="C24" s="8"/>
      <c r="D24" s="8"/>
      <c r="E24" s="32"/>
      <c r="F24" s="9"/>
      <c r="G24" s="185" t="s">
        <v>334</v>
      </c>
      <c r="H24" s="191">
        <f>E32*39.37</f>
        <v>11.810999999999998</v>
      </c>
      <c r="I24" s="37"/>
      <c r="J24" s="200"/>
      <c r="K24" s="202"/>
      <c r="L24" s="200"/>
      <c r="M24" s="200"/>
      <c r="N24" s="200"/>
      <c r="O24" s="200"/>
      <c r="P24" s="37"/>
      <c r="Q24" s="163"/>
      <c r="R24" s="163"/>
      <c r="S24" s="163"/>
      <c r="T24" s="163"/>
    </row>
    <row r="25" spans="1:20">
      <c r="A25" s="10" t="s">
        <v>433</v>
      </c>
      <c r="B25" s="27"/>
      <c r="C25" s="8"/>
      <c r="D25" s="8"/>
      <c r="E25" s="12">
        <v>5</v>
      </c>
      <c r="F25" s="9"/>
      <c r="G25" s="185" t="s">
        <v>335</v>
      </c>
      <c r="H25" s="191">
        <f>E28*0.062</f>
        <v>43.71</v>
      </c>
      <c r="I25" s="37" t="s">
        <v>32</v>
      </c>
      <c r="J25" s="200"/>
      <c r="K25" s="202">
        <f>SUM(J26:J28)</f>
        <v>226</v>
      </c>
      <c r="L25" s="200"/>
      <c r="M25" s="200"/>
      <c r="N25" s="200"/>
      <c r="O25" s="200"/>
      <c r="P25" s="37"/>
      <c r="Q25" s="163"/>
      <c r="R25" s="163"/>
      <c r="S25" s="163"/>
      <c r="T25" s="163"/>
    </row>
    <row r="26" spans="1:20">
      <c r="A26" s="10" t="s">
        <v>434</v>
      </c>
      <c r="B26" s="27"/>
      <c r="C26" s="8"/>
      <c r="D26" s="8"/>
      <c r="E26" s="32"/>
      <c r="F26" s="9"/>
      <c r="G26" s="185" t="s">
        <v>336</v>
      </c>
      <c r="H26" s="191">
        <f>100-E30</f>
        <v>33</v>
      </c>
      <c r="I26" s="40" t="s">
        <v>33</v>
      </c>
      <c r="J26" s="11">
        <v>90</v>
      </c>
      <c r="K26" s="42"/>
      <c r="L26" s="11">
        <v>4.5</v>
      </c>
      <c r="M26" s="11">
        <v>0</v>
      </c>
      <c r="N26" s="11">
        <v>0</v>
      </c>
      <c r="O26" s="11">
        <v>6.8</v>
      </c>
      <c r="P26" s="37"/>
      <c r="Q26" s="163">
        <f>L26*$J$26</f>
        <v>405</v>
      </c>
      <c r="R26" s="163">
        <f>M26*$J$26</f>
        <v>0</v>
      </c>
      <c r="S26" s="163">
        <f>N26*$J$26</f>
        <v>0</v>
      </c>
      <c r="T26" s="163">
        <f>O26*$J$26</f>
        <v>612</v>
      </c>
    </row>
    <row r="27" spans="1:20">
      <c r="A27" s="10"/>
      <c r="B27" s="27"/>
      <c r="C27" s="8"/>
      <c r="D27" s="8"/>
      <c r="E27" s="32"/>
      <c r="F27" s="9"/>
      <c r="G27" s="185" t="s">
        <v>337</v>
      </c>
      <c r="H27" s="191">
        <f>H25*H26/100</f>
        <v>14.424300000000001</v>
      </c>
      <c r="I27" s="40" t="s">
        <v>34</v>
      </c>
      <c r="J27" s="11">
        <v>68</v>
      </c>
      <c r="K27" s="42"/>
      <c r="L27" s="11">
        <v>6.8</v>
      </c>
      <c r="M27" s="11">
        <v>2.2999999999999998</v>
      </c>
      <c r="N27" s="11">
        <v>0</v>
      </c>
      <c r="O27" s="11">
        <v>4.5</v>
      </c>
      <c r="P27" s="37"/>
      <c r="Q27" s="163">
        <f>L27*$J$27</f>
        <v>462.4</v>
      </c>
      <c r="R27" s="163">
        <f>M27*$J$27</f>
        <v>156.39999999999998</v>
      </c>
      <c r="S27" s="163">
        <f>N27*$J$27</f>
        <v>0</v>
      </c>
      <c r="T27" s="163">
        <f>O27*$J$27</f>
        <v>306</v>
      </c>
    </row>
    <row r="28" spans="1:20">
      <c r="A28" s="10" t="s">
        <v>77</v>
      </c>
      <c r="B28" s="27"/>
      <c r="C28" s="8"/>
      <c r="D28" s="8"/>
      <c r="E28" s="12">
        <v>705</v>
      </c>
      <c r="F28" s="9"/>
      <c r="G28" s="185" t="s">
        <v>338</v>
      </c>
      <c r="H28" s="191">
        <f>100*(1-(H27/(62.4*1.5)+(H25-H27)/62.4))</f>
        <v>37.657211538461532</v>
      </c>
      <c r="I28" s="40" t="s">
        <v>36</v>
      </c>
      <c r="J28" s="11">
        <v>68</v>
      </c>
      <c r="K28" s="42"/>
      <c r="L28" s="11">
        <v>4.5</v>
      </c>
      <c r="M28" s="11">
        <v>4.5</v>
      </c>
      <c r="N28" s="11">
        <v>0</v>
      </c>
      <c r="O28" s="11">
        <v>4.5</v>
      </c>
      <c r="P28" s="37"/>
      <c r="Q28" s="163">
        <f>L28*$J$28</f>
        <v>306</v>
      </c>
      <c r="R28" s="163">
        <f>M28*$J$28</f>
        <v>306</v>
      </c>
      <c r="S28" s="163">
        <f>N28*$J$28</f>
        <v>0</v>
      </c>
      <c r="T28" s="163">
        <f>O28*$J$28</f>
        <v>306</v>
      </c>
    </row>
    <row r="29" spans="1:20">
      <c r="A29" s="10"/>
      <c r="B29" s="27"/>
      <c r="C29" s="8"/>
      <c r="D29" s="8"/>
      <c r="E29" s="32"/>
      <c r="F29" s="9"/>
      <c r="G29" s="185" t="s">
        <v>340</v>
      </c>
      <c r="H29" s="191">
        <f>40*H26/100</f>
        <v>13.2</v>
      </c>
      <c r="I29" s="37"/>
      <c r="J29" s="200"/>
      <c r="K29" s="202"/>
      <c r="L29" s="200"/>
      <c r="M29" s="200"/>
      <c r="N29" s="200"/>
      <c r="O29" s="200"/>
      <c r="P29" s="37"/>
      <c r="Q29" s="163"/>
      <c r="R29" s="163"/>
      <c r="S29" s="163"/>
      <c r="T29" s="163"/>
    </row>
    <row r="30" spans="1:20">
      <c r="A30" s="10" t="s">
        <v>37</v>
      </c>
      <c r="B30" s="27"/>
      <c r="C30" s="8"/>
      <c r="D30" s="8"/>
      <c r="E30" s="12">
        <v>67</v>
      </c>
      <c r="F30" s="9"/>
      <c r="G30" s="185" t="s">
        <v>339</v>
      </c>
      <c r="H30" s="191">
        <f>100*(1-(H29/(62.4*1.5)+(40-H29)/62.4))</f>
        <v>42.948717948717949</v>
      </c>
      <c r="I30" s="37" t="s">
        <v>38</v>
      </c>
      <c r="J30" s="11">
        <v>10</v>
      </c>
      <c r="K30" s="203">
        <f>J30</f>
        <v>10</v>
      </c>
      <c r="L30" s="11">
        <v>11.4</v>
      </c>
      <c r="M30" s="11">
        <v>2.2999999999999998</v>
      </c>
      <c r="N30" s="11">
        <v>0</v>
      </c>
      <c r="O30" s="11">
        <v>2.2999999999999998</v>
      </c>
      <c r="P30" s="37"/>
      <c r="Q30" s="163">
        <f>L30*$J$30</f>
        <v>114</v>
      </c>
      <c r="R30" s="163">
        <f>M30*$J$30</f>
        <v>23</v>
      </c>
      <c r="S30" s="163">
        <f>N30*$J$30</f>
        <v>0</v>
      </c>
      <c r="T30" s="163">
        <f>O30*$J$30</f>
        <v>23</v>
      </c>
    </row>
    <row r="31" spans="1:20">
      <c r="A31" s="10"/>
      <c r="B31" s="27"/>
      <c r="C31" s="8"/>
      <c r="D31" s="8"/>
      <c r="E31" s="32"/>
      <c r="F31" s="9"/>
      <c r="G31" s="188"/>
      <c r="H31" s="194"/>
      <c r="I31" s="38" t="s">
        <v>39</v>
      </c>
      <c r="J31" s="201" t="s">
        <v>39</v>
      </c>
      <c r="K31" s="206" t="s">
        <v>39</v>
      </c>
      <c r="L31" s="201" t="s">
        <v>39</v>
      </c>
      <c r="M31" s="201" t="s">
        <v>39</v>
      </c>
      <c r="N31" s="201" t="s">
        <v>39</v>
      </c>
      <c r="O31" s="201" t="s">
        <v>39</v>
      </c>
      <c r="P31" s="38" t="s">
        <v>39</v>
      </c>
      <c r="Q31" s="38" t="s">
        <v>39</v>
      </c>
      <c r="R31" s="38" t="s">
        <v>39</v>
      </c>
      <c r="S31" s="38" t="s">
        <v>39</v>
      </c>
      <c r="T31" s="38" t="s">
        <v>39</v>
      </c>
    </row>
    <row r="32" spans="1:20">
      <c r="A32" s="10" t="s">
        <v>78</v>
      </c>
      <c r="B32" s="27"/>
      <c r="C32" s="8"/>
      <c r="D32" s="8"/>
      <c r="E32" s="12">
        <v>0.3</v>
      </c>
      <c r="F32" s="9"/>
      <c r="G32" s="189">
        <f>(3+((H26-35)/100))*(H28/H30)*(6/H24)</f>
        <v>1.3273296585399141</v>
      </c>
      <c r="H32" s="188"/>
      <c r="I32" s="37" t="s">
        <v>41</v>
      </c>
      <c r="J32" s="200" t="s">
        <v>16</v>
      </c>
      <c r="K32" s="202">
        <f>SUM(K12:K30)</f>
        <v>440</v>
      </c>
      <c r="L32" s="200"/>
      <c r="M32" s="200"/>
      <c r="N32" s="200"/>
      <c r="O32" s="200"/>
      <c r="P32" s="37"/>
      <c r="Q32" s="37"/>
      <c r="R32" s="37"/>
      <c r="S32" s="37"/>
      <c r="T32" s="37"/>
    </row>
    <row r="33" spans="1:20">
      <c r="A33" s="10"/>
      <c r="B33" s="27"/>
      <c r="C33" s="8"/>
      <c r="D33" s="8"/>
      <c r="E33" s="32"/>
      <c r="F33" s="9"/>
      <c r="G33" s="35"/>
      <c r="H33" s="35"/>
      <c r="I33" s="41"/>
      <c r="J33" s="200"/>
      <c r="K33" s="202"/>
      <c r="L33" s="200"/>
      <c r="M33" s="200"/>
      <c r="N33" s="200"/>
      <c r="O33" s="200"/>
      <c r="P33" s="37"/>
      <c r="Q33" s="37"/>
      <c r="R33" s="37"/>
      <c r="S33" s="37"/>
      <c r="T33" s="37"/>
    </row>
    <row r="34" spans="1:20">
      <c r="A34" s="10" t="s">
        <v>42</v>
      </c>
      <c r="B34" s="27"/>
      <c r="C34" s="8"/>
      <c r="D34" s="8"/>
      <c r="E34" s="12">
        <v>360</v>
      </c>
      <c r="F34" s="9"/>
      <c r="G34" s="35"/>
      <c r="H34" s="35"/>
      <c r="I34" s="37" t="s">
        <v>43</v>
      </c>
      <c r="J34" s="200"/>
      <c r="K34" s="202"/>
      <c r="L34" s="200"/>
      <c r="M34" s="200"/>
      <c r="N34" s="200"/>
      <c r="O34" s="200"/>
      <c r="P34" s="37"/>
      <c r="Q34" s="37"/>
      <c r="R34" s="37"/>
      <c r="S34" s="37"/>
      <c r="T34" s="37"/>
    </row>
    <row r="35" spans="1:20">
      <c r="A35" s="10"/>
      <c r="B35" s="27"/>
      <c r="C35" s="8"/>
      <c r="D35" s="8"/>
      <c r="E35" s="32"/>
      <c r="F35" s="9"/>
      <c r="G35" s="35"/>
      <c r="H35" s="35"/>
      <c r="I35" s="40" t="s">
        <v>44</v>
      </c>
      <c r="J35" s="11">
        <v>48</v>
      </c>
      <c r="K35" s="42"/>
      <c r="L35" s="11">
        <v>1.4</v>
      </c>
      <c r="M35" s="11">
        <v>0</v>
      </c>
      <c r="N35" s="11">
        <v>0</v>
      </c>
      <c r="O35" s="11">
        <v>0.9</v>
      </c>
      <c r="P35" s="37"/>
      <c r="Q35" s="163">
        <f>L35*$J$35</f>
        <v>67.199999999999989</v>
      </c>
      <c r="R35" s="163">
        <f>M35*$J$35</f>
        <v>0</v>
      </c>
      <c r="S35" s="163">
        <f>N35*$J$35</f>
        <v>0</v>
      </c>
      <c r="T35" s="163">
        <f>O35*$J$35</f>
        <v>43.2</v>
      </c>
    </row>
    <row r="36" spans="1:20">
      <c r="A36" s="10" t="s">
        <v>79</v>
      </c>
      <c r="B36" s="27"/>
      <c r="C36" s="8"/>
      <c r="D36" s="8"/>
      <c r="E36" s="12">
        <v>46</v>
      </c>
      <c r="F36" s="9"/>
      <c r="G36" s="35"/>
      <c r="H36" s="35"/>
      <c r="I36" s="40" t="s">
        <v>46</v>
      </c>
      <c r="J36" s="11">
        <v>48</v>
      </c>
      <c r="K36" s="42"/>
      <c r="L36" s="11">
        <v>2.2999999999999998</v>
      </c>
      <c r="M36" s="11">
        <v>0</v>
      </c>
      <c r="N36" s="11">
        <v>0</v>
      </c>
      <c r="O36" s="11">
        <v>1.4</v>
      </c>
      <c r="P36" s="37"/>
      <c r="Q36" s="163">
        <f>L36*$J$36</f>
        <v>110.39999999999999</v>
      </c>
      <c r="R36" s="163">
        <f>M36*$J$36</f>
        <v>0</v>
      </c>
      <c r="S36" s="163">
        <f>N36*$J$36</f>
        <v>0</v>
      </c>
      <c r="T36" s="163">
        <f>O36*$J$36</f>
        <v>67.199999999999989</v>
      </c>
    </row>
    <row r="37" spans="1:20">
      <c r="A37" s="10" t="s">
        <v>80</v>
      </c>
      <c r="B37" s="27"/>
      <c r="C37" s="8"/>
      <c r="D37" s="8"/>
      <c r="E37" s="9"/>
      <c r="F37" s="9"/>
      <c r="G37" s="35"/>
      <c r="H37" s="35"/>
      <c r="I37" s="40" t="s">
        <v>48</v>
      </c>
      <c r="J37" s="11">
        <v>72</v>
      </c>
      <c r="K37" s="42"/>
      <c r="L37" s="11">
        <v>1.8</v>
      </c>
      <c r="M37" s="11">
        <v>0.9</v>
      </c>
      <c r="N37" s="11">
        <v>0</v>
      </c>
      <c r="O37" s="11">
        <v>2.2999999999999998</v>
      </c>
      <c r="P37" s="37"/>
      <c r="Q37" s="163">
        <f>L37*$J$37</f>
        <v>129.6</v>
      </c>
      <c r="R37" s="163">
        <f>M37*$J$37</f>
        <v>64.8</v>
      </c>
      <c r="S37" s="163">
        <f>N37*$J$37</f>
        <v>0</v>
      </c>
      <c r="T37" s="163">
        <f>O37*$J$37</f>
        <v>165.6</v>
      </c>
    </row>
    <row r="38" spans="1:20">
      <c r="A38" s="33" t="s">
        <v>343</v>
      </c>
      <c r="B38" s="28"/>
      <c r="C38" s="28"/>
      <c r="D38" s="28"/>
      <c r="E38" s="28"/>
      <c r="F38" s="28"/>
      <c r="G38" s="34"/>
      <c r="H38" s="35"/>
      <c r="I38" s="40" t="s">
        <v>49</v>
      </c>
      <c r="J38" s="11">
        <v>48</v>
      </c>
      <c r="K38" s="42"/>
      <c r="L38" s="11">
        <v>1.8</v>
      </c>
      <c r="M38" s="11">
        <v>1.8</v>
      </c>
      <c r="N38" s="11">
        <v>0</v>
      </c>
      <c r="O38" s="11">
        <v>2.7</v>
      </c>
      <c r="P38" s="37"/>
      <c r="Q38" s="163">
        <f>L38*$J$38</f>
        <v>86.4</v>
      </c>
      <c r="R38" s="163">
        <f>M38*$J$38</f>
        <v>86.4</v>
      </c>
      <c r="S38" s="163">
        <f>N38*$J$38</f>
        <v>0</v>
      </c>
      <c r="T38" s="163">
        <f>O38*$J$38</f>
        <v>129.60000000000002</v>
      </c>
    </row>
    <row r="39" spans="1:20">
      <c r="H39" s="35"/>
      <c r="I39" s="40" t="s">
        <v>50</v>
      </c>
      <c r="J39" s="11">
        <v>156</v>
      </c>
      <c r="K39" s="42"/>
      <c r="L39" s="11">
        <v>3.2</v>
      </c>
      <c r="M39" s="11">
        <v>1.8</v>
      </c>
      <c r="N39" s="11">
        <v>0</v>
      </c>
      <c r="O39" s="11">
        <v>4.0999999999999996</v>
      </c>
      <c r="P39" s="37"/>
      <c r="Q39" s="163">
        <f>L39*$J$39</f>
        <v>499.20000000000005</v>
      </c>
      <c r="R39" s="163">
        <f>M39*$J$39</f>
        <v>280.8</v>
      </c>
      <c r="S39" s="163">
        <f>N39*$J$39</f>
        <v>0</v>
      </c>
      <c r="T39" s="163">
        <f>O39*$J$39</f>
        <v>639.59999999999991</v>
      </c>
    </row>
    <row r="40" spans="1:20">
      <c r="A40" s="13" t="s">
        <v>51</v>
      </c>
      <c r="B40" s="14"/>
      <c r="C40" s="15"/>
      <c r="D40" s="15"/>
      <c r="E40" s="16"/>
      <c r="F40" s="16"/>
      <c r="G40" s="17"/>
      <c r="H40" s="35"/>
      <c r="I40" s="38" t="s">
        <v>5</v>
      </c>
      <c r="J40" s="38" t="s">
        <v>5</v>
      </c>
      <c r="K40" s="206" t="s">
        <v>5</v>
      </c>
      <c r="L40" s="38" t="s">
        <v>5</v>
      </c>
      <c r="M40" s="38" t="s">
        <v>5</v>
      </c>
      <c r="N40" s="38" t="s">
        <v>5</v>
      </c>
      <c r="O40" s="38" t="s">
        <v>5</v>
      </c>
      <c r="P40" s="38" t="s">
        <v>5</v>
      </c>
      <c r="Q40" s="38" t="s">
        <v>5</v>
      </c>
      <c r="R40" s="38" t="s">
        <v>5</v>
      </c>
      <c r="S40" s="38" t="s">
        <v>5</v>
      </c>
      <c r="T40" s="38" t="s">
        <v>5</v>
      </c>
    </row>
    <row r="41" spans="1:20">
      <c r="A41" s="18" t="s">
        <v>5</v>
      </c>
      <c r="B41" s="19" t="s">
        <v>5</v>
      </c>
      <c r="C41" s="20" t="s">
        <v>5</v>
      </c>
      <c r="D41" s="20" t="s">
        <v>5</v>
      </c>
      <c r="E41" s="21" t="s">
        <v>5</v>
      </c>
      <c r="F41" s="21" t="s">
        <v>5</v>
      </c>
      <c r="G41" s="18" t="s">
        <v>5</v>
      </c>
      <c r="H41" s="35"/>
      <c r="I41" s="37" t="s">
        <v>43</v>
      </c>
      <c r="J41" s="37" t="s">
        <v>16</v>
      </c>
      <c r="K41" s="202">
        <f>SUM(J35:J39)</f>
        <v>372</v>
      </c>
      <c r="L41" s="37"/>
      <c r="M41" s="37"/>
      <c r="N41" s="37"/>
      <c r="O41" s="37"/>
      <c r="P41" s="37"/>
      <c r="Q41" s="37"/>
      <c r="R41" s="37"/>
      <c r="S41" s="37"/>
      <c r="T41" s="37"/>
    </row>
    <row r="42" spans="1:20">
      <c r="A42" s="67"/>
      <c r="B42" s="67" t="s">
        <v>52</v>
      </c>
      <c r="C42" s="68" t="s">
        <v>53</v>
      </c>
      <c r="D42" s="68" t="s">
        <v>54</v>
      </c>
      <c r="E42" s="69" t="s">
        <v>55</v>
      </c>
      <c r="F42" s="69" t="s">
        <v>55</v>
      </c>
      <c r="G42" s="67" t="s">
        <v>231</v>
      </c>
      <c r="H42" s="35"/>
      <c r="I42" s="37"/>
      <c r="J42" s="37"/>
      <c r="K42" s="202"/>
      <c r="L42" s="37"/>
      <c r="M42" s="37"/>
      <c r="N42" s="37"/>
      <c r="O42" s="37"/>
      <c r="P42" s="37"/>
      <c r="Q42" s="37"/>
      <c r="R42" s="37"/>
      <c r="S42" s="37"/>
      <c r="T42" s="37"/>
    </row>
    <row r="43" spans="1:20">
      <c r="A43" s="67" t="s">
        <v>56</v>
      </c>
      <c r="B43" s="70" t="s">
        <v>54</v>
      </c>
      <c r="C43" s="71" t="s">
        <v>57</v>
      </c>
      <c r="D43" s="68" t="s">
        <v>58</v>
      </c>
      <c r="E43" s="69" t="s">
        <v>59</v>
      </c>
      <c r="F43" s="69" t="s">
        <v>60</v>
      </c>
      <c r="G43" s="67" t="s">
        <v>61</v>
      </c>
      <c r="H43" s="35"/>
      <c r="I43" s="37"/>
      <c r="J43" s="37"/>
      <c r="K43" s="202"/>
      <c r="L43" s="37"/>
      <c r="M43" s="37"/>
      <c r="N43" s="37"/>
      <c r="O43" s="37"/>
      <c r="P43" s="37"/>
      <c r="Q43" s="37"/>
      <c r="R43" s="37"/>
      <c r="S43" s="37"/>
      <c r="T43" s="37"/>
    </row>
    <row r="44" spans="1:20">
      <c r="A44" s="67" t="s">
        <v>62</v>
      </c>
      <c r="B44" s="70" t="s">
        <v>63</v>
      </c>
      <c r="C44" s="68" t="s">
        <v>54</v>
      </c>
      <c r="D44" s="68"/>
      <c r="E44" s="69" t="s">
        <v>64</v>
      </c>
      <c r="F44" s="69" t="s">
        <v>65</v>
      </c>
      <c r="G44" s="67"/>
      <c r="H44" s="35"/>
      <c r="I44" s="37"/>
      <c r="J44" s="37"/>
      <c r="K44" s="202"/>
      <c r="L44" s="37"/>
      <c r="M44" s="37"/>
      <c r="N44" s="37"/>
      <c r="O44" s="37" t="s">
        <v>91</v>
      </c>
      <c r="P44" s="37"/>
      <c r="Q44" s="165">
        <f>SUM(Q14:Q39)</f>
        <v>2838.2</v>
      </c>
      <c r="R44" s="165">
        <f>SUM(R14:R39)</f>
        <v>1362.6</v>
      </c>
      <c r="S44" s="165">
        <f>SUM(S14:S39)</f>
        <v>372</v>
      </c>
      <c r="T44" s="165">
        <f>SUM(T14:T39)</f>
        <v>3117.5999999999995</v>
      </c>
    </row>
    <row r="45" spans="1:20">
      <c r="A45" s="67"/>
      <c r="B45" s="70"/>
      <c r="C45" s="67" t="s">
        <v>66</v>
      </c>
      <c r="D45" s="68" t="s">
        <v>81</v>
      </c>
      <c r="E45" s="69" t="s">
        <v>68</v>
      </c>
      <c r="F45" s="69" t="s">
        <v>69</v>
      </c>
      <c r="G45" s="67"/>
      <c r="H45" s="35"/>
      <c r="P45" s="45"/>
    </row>
    <row r="46" spans="1:20">
      <c r="A46" s="67" t="s">
        <v>81</v>
      </c>
      <c r="B46" s="70" t="s">
        <v>81</v>
      </c>
      <c r="C46" s="68"/>
      <c r="D46" s="68" t="s">
        <v>70</v>
      </c>
      <c r="E46" s="69" t="s">
        <v>82</v>
      </c>
      <c r="F46" s="69" t="s">
        <v>82</v>
      </c>
      <c r="G46" s="67" t="s">
        <v>72</v>
      </c>
      <c r="H46" s="35"/>
    </row>
    <row r="47" spans="1:20">
      <c r="A47" s="18" t="s">
        <v>5</v>
      </c>
      <c r="B47" s="19" t="s">
        <v>5</v>
      </c>
      <c r="C47" s="20" t="s">
        <v>5</v>
      </c>
      <c r="D47" s="20" t="s">
        <v>5</v>
      </c>
      <c r="E47" s="21" t="s">
        <v>5</v>
      </c>
      <c r="F47" s="21" t="s">
        <v>5</v>
      </c>
      <c r="G47" s="18" t="s">
        <v>5</v>
      </c>
      <c r="H47" s="35"/>
    </row>
    <row r="48" spans="1:20">
      <c r="A48" s="17">
        <v>1.5</v>
      </c>
      <c r="B48" s="103">
        <f>IF(($E$19)/($E$32*$A48*$E$28*(1-($E$30/100)))&lt;2*$E$15,"Don't Use",($E$19)/($E$32*$A48*$E$28*(1-($E$30/100))))</f>
        <v>25.990400458485574</v>
      </c>
      <c r="C48" s="93">
        <f>IF(B48="Don't Use","Don't Use",ROUND(((+$E$32)*($E$34/($E$36-$A48*3))+0.4),0))</f>
        <v>3</v>
      </c>
      <c r="D48" s="105">
        <f>IF(B48="Don't Use","Don't Use",((($E$19*$E$34/(1-($E$22+$E$25+$G$32)/100))/($E$28*(1-($E$30/100)))/($C48*($B48*$A48))+3*$A48)))</f>
        <v>47.52480111258248</v>
      </c>
      <c r="E48" s="22">
        <f>IF(B48="Don't Use","Don't Use",($E$19/(1-($E$22+$E$25+$G$32)/100)*($E$34/1000)*(1+0.0225*($B48/$I$53-1))))</f>
        <v>1208.6356750334269</v>
      </c>
      <c r="F48" s="22">
        <f t="shared" ref="F48" si="0">IF(B48="Don't Use","Don't Use",+$E48*($E$22+$E$25+$G$32+2.25*($B48/$I$53-1))/100)</f>
        <v>236.49772690450985</v>
      </c>
      <c r="G48" s="22">
        <f t="shared" ref="G48" si="1">IF(B48="Don't Use","Don't Use",($F48/$E48)*100)</f>
        <v>19.567329658539915</v>
      </c>
      <c r="H48" s="35"/>
    </row>
    <row r="49" spans="1:9">
      <c r="A49" s="17">
        <v>2</v>
      </c>
      <c r="B49" s="103">
        <f t="shared" ref="B49:B61" si="2">IF(($E$19)/($E$32*$A49*$E$28*(1-($E$30/100)))&lt;2*$E$15,"Don't Use",($E$19)/($E$32*$A49*$E$28*(1-($E$30/100))))</f>
        <v>19.492800343864179</v>
      </c>
      <c r="C49" s="93">
        <f t="shared" ref="C49:C61" si="3">IF(B49="Don't Use","Don't Use",ROUND(((+$E$32)*($E$34/($E$36-$A49*3))+0.4),0))</f>
        <v>3</v>
      </c>
      <c r="D49" s="105">
        <f t="shared" ref="D49:D61" si="4">IF(B49="Don't Use","Don't Use",((($E$19*$E$34/(1-($E$22+$E$25+$G$32)/100))/($E$28*(1-($E$30/100)))/($C49*($B49*$A49))+3*$A49)))</f>
        <v>49.024801112582487</v>
      </c>
      <c r="E49" s="22">
        <f t="shared" ref="E49:E61" si="5">IF(B49="Don't Use","Don't Use",($E$19/(1-($E$22+$E$25+$G$32)/100)*($E$34/1000)*(1+0.0225*($B49/$I$53-1))))</f>
        <v>1192.5677511281249</v>
      </c>
      <c r="F49" s="22">
        <f t="shared" ref="F49:F61" si="6">IF(B49="Don't Use","Don't Use",+$E49*($E$22+$E$25+$G$32+2.25*($B49/$I$53-1))/100)</f>
        <v>216.98567088044251</v>
      </c>
      <c r="G49" s="22">
        <f t="shared" ref="G49:G61" si="7">IF(B49="Don't Use","Don't Use",($F49/$E49)*100)</f>
        <v>18.194829658539913</v>
      </c>
      <c r="H49" s="35"/>
    </row>
    <row r="50" spans="1:9">
      <c r="A50" s="17">
        <v>2.5</v>
      </c>
      <c r="B50" s="103">
        <f t="shared" si="2"/>
        <v>15.594240275091341</v>
      </c>
      <c r="C50" s="93">
        <f t="shared" si="3"/>
        <v>3</v>
      </c>
      <c r="D50" s="105">
        <f t="shared" si="4"/>
        <v>50.524801112582495</v>
      </c>
      <c r="E50" s="22">
        <f t="shared" si="5"/>
        <v>1182.9269967849436</v>
      </c>
      <c r="F50" s="22">
        <f t="shared" si="6"/>
        <v>205.49014823137841</v>
      </c>
      <c r="G50" s="22">
        <f t="shared" si="7"/>
        <v>17.371329658539914</v>
      </c>
      <c r="H50" s="35"/>
    </row>
    <row r="51" spans="1:9">
      <c r="A51" s="24">
        <v>3</v>
      </c>
      <c r="B51" s="103">
        <f t="shared" si="2"/>
        <v>12.995200229242787</v>
      </c>
      <c r="C51" s="93">
        <f t="shared" si="3"/>
        <v>3</v>
      </c>
      <c r="D51" s="105">
        <f t="shared" si="4"/>
        <v>52.02480111258248</v>
      </c>
      <c r="E51" s="22">
        <f t="shared" si="5"/>
        <v>1176.4998272228229</v>
      </c>
      <c r="F51" s="22">
        <f t="shared" si="6"/>
        <v>197.91467936757579</v>
      </c>
      <c r="G51" s="22">
        <f t="shared" si="7"/>
        <v>16.822329658539914</v>
      </c>
      <c r="H51" s="99"/>
    </row>
    <row r="52" spans="1:9">
      <c r="A52" s="17">
        <v>3.5</v>
      </c>
      <c r="B52" s="103">
        <f t="shared" si="2"/>
        <v>11.138743053636672</v>
      </c>
      <c r="C52" s="93">
        <f t="shared" si="3"/>
        <v>3</v>
      </c>
      <c r="D52" s="105">
        <f t="shared" si="4"/>
        <v>53.524801112582495</v>
      </c>
      <c r="E52" s="22">
        <f t="shared" si="5"/>
        <v>1171.9089918213078</v>
      </c>
      <c r="F52" s="22">
        <f t="shared" si="6"/>
        <v>192.54683649860982</v>
      </c>
      <c r="G52" s="22">
        <f t="shared" si="7"/>
        <v>16.430186801397056</v>
      </c>
      <c r="H52" s="35"/>
    </row>
    <row r="53" spans="1:9">
      <c r="A53" s="25">
        <v>3.66</v>
      </c>
      <c r="B53" s="104">
        <f t="shared" si="2"/>
        <v>10.651803466592446</v>
      </c>
      <c r="C53" s="101">
        <f t="shared" si="3"/>
        <v>3</v>
      </c>
      <c r="D53" s="104">
        <f t="shared" si="4"/>
        <v>54.004801112582498</v>
      </c>
      <c r="E53" s="102">
        <f t="shared" si="5"/>
        <v>1170.7048382733697</v>
      </c>
      <c r="F53" s="102">
        <f t="shared" si="6"/>
        <v>191.1448382733696</v>
      </c>
      <c r="G53" s="102">
        <f t="shared" si="7"/>
        <v>16.327329658539913</v>
      </c>
      <c r="H53" s="88" t="s">
        <v>73</v>
      </c>
      <c r="I53" s="193">
        <f>($E$19)/($E$32*A53*$E$28*(1-($E$30/100)))</f>
        <v>10.651803466592446</v>
      </c>
    </row>
    <row r="54" spans="1:9">
      <c r="A54" s="17">
        <v>4</v>
      </c>
      <c r="B54" s="103">
        <f t="shared" si="2"/>
        <v>9.7464001719320894</v>
      </c>
      <c r="C54" s="93">
        <f t="shared" si="3"/>
        <v>4</v>
      </c>
      <c r="D54" s="105">
        <f t="shared" si="4"/>
        <v>44.268600834436867</v>
      </c>
      <c r="E54" s="22">
        <f t="shared" si="5"/>
        <v>1168.4658652701719</v>
      </c>
      <c r="F54" s="22">
        <f t="shared" si="6"/>
        <v>188.5445828028426</v>
      </c>
      <c r="G54" s="22">
        <f t="shared" si="7"/>
        <v>16.136079658539913</v>
      </c>
      <c r="H54" s="100"/>
    </row>
    <row r="55" spans="1:9">
      <c r="A55" s="17">
        <v>4.5</v>
      </c>
      <c r="B55" s="103">
        <f t="shared" si="2"/>
        <v>8.6634668194951896</v>
      </c>
      <c r="C55" s="93">
        <f t="shared" si="3"/>
        <v>4</v>
      </c>
      <c r="D55" s="105">
        <f t="shared" si="4"/>
        <v>45.768600834436867</v>
      </c>
      <c r="E55" s="22">
        <f t="shared" si="5"/>
        <v>1165.7878779526216</v>
      </c>
      <c r="F55" s="22">
        <f t="shared" si="6"/>
        <v>185.44572086522047</v>
      </c>
      <c r="G55" s="22">
        <f t="shared" si="7"/>
        <v>15.907329658539915</v>
      </c>
      <c r="H55" s="100"/>
    </row>
    <row r="56" spans="1:9">
      <c r="A56" s="17">
        <v>5</v>
      </c>
      <c r="B56" s="103">
        <f t="shared" si="2"/>
        <v>7.7971201375456705</v>
      </c>
      <c r="C56" s="93">
        <f t="shared" si="3"/>
        <v>4</v>
      </c>
      <c r="D56" s="105">
        <f t="shared" si="4"/>
        <v>47.268600834436867</v>
      </c>
      <c r="E56" s="22">
        <f t="shared" si="5"/>
        <v>1163.6454880985812</v>
      </c>
      <c r="F56" s="22">
        <f t="shared" si="6"/>
        <v>182.97545260534673</v>
      </c>
      <c r="G56" s="22">
        <f t="shared" si="7"/>
        <v>15.724329658539911</v>
      </c>
      <c r="H56" s="100"/>
    </row>
    <row r="57" spans="1:9">
      <c r="A57" s="17">
        <v>5.5</v>
      </c>
      <c r="B57" s="103">
        <f t="shared" si="2"/>
        <v>7.0882910341324274</v>
      </c>
      <c r="C57" s="93">
        <f t="shared" si="3"/>
        <v>4</v>
      </c>
      <c r="D57" s="105">
        <f t="shared" si="4"/>
        <v>48.768600834436867</v>
      </c>
      <c r="E57" s="22">
        <f t="shared" si="5"/>
        <v>1161.8926236725483</v>
      </c>
      <c r="F57" s="22">
        <f t="shared" si="6"/>
        <v>180.96015628708582</v>
      </c>
      <c r="G57" s="22">
        <f t="shared" si="7"/>
        <v>15.574602385812641</v>
      </c>
      <c r="H57" s="100"/>
    </row>
    <row r="58" spans="1:9">
      <c r="A58" s="17">
        <v>6</v>
      </c>
      <c r="B58" s="103">
        <f t="shared" si="2"/>
        <v>6.4976001146213935</v>
      </c>
      <c r="C58" s="93">
        <f t="shared" si="3"/>
        <v>4</v>
      </c>
      <c r="D58" s="105">
        <f t="shared" si="4"/>
        <v>50.26860083443686</v>
      </c>
      <c r="E58" s="22">
        <f t="shared" si="5"/>
        <v>1160.4319033175209</v>
      </c>
      <c r="F58" s="22">
        <f t="shared" si="6"/>
        <v>179.28475236590955</v>
      </c>
      <c r="G58" s="22">
        <f t="shared" si="7"/>
        <v>15.449829658539912</v>
      </c>
      <c r="H58" s="100"/>
    </row>
    <row r="59" spans="1:9">
      <c r="A59" s="17">
        <v>6.5</v>
      </c>
      <c r="B59" s="103">
        <f t="shared" si="2"/>
        <v>5.9977847211889772</v>
      </c>
      <c r="C59" s="93">
        <f t="shared" si="3"/>
        <v>4</v>
      </c>
      <c r="D59" s="105">
        <f t="shared" si="4"/>
        <v>51.768600834436867</v>
      </c>
      <c r="E59" s="22">
        <f t="shared" si="5"/>
        <v>1159.1959091709591</v>
      </c>
      <c r="F59" s="22">
        <f t="shared" si="6"/>
        <v>177.86995000233998</v>
      </c>
      <c r="G59" s="22">
        <f t="shared" si="7"/>
        <v>15.344252735462991</v>
      </c>
      <c r="H59" s="35"/>
    </row>
    <row r="60" spans="1:9">
      <c r="A60" s="17">
        <v>7</v>
      </c>
      <c r="B60" s="103">
        <f t="shared" si="2"/>
        <v>5.5693715268183359</v>
      </c>
      <c r="C60" s="93">
        <f t="shared" si="3"/>
        <v>5</v>
      </c>
      <c r="D60" s="105">
        <f t="shared" si="4"/>
        <v>46.814880667549495</v>
      </c>
      <c r="E60" s="22">
        <f t="shared" si="5"/>
        <v>1158.1364856167634</v>
      </c>
      <c r="F60" s="22">
        <f t="shared" si="6"/>
        <v>176.65933948903483</v>
      </c>
      <c r="G60" s="22">
        <f t="shared" si="7"/>
        <v>15.253758229968486</v>
      </c>
      <c r="H60" s="35"/>
    </row>
    <row r="61" spans="1:9">
      <c r="A61" s="17">
        <v>7.5</v>
      </c>
      <c r="B61" s="103" t="str">
        <f t="shared" si="2"/>
        <v>Don't Use</v>
      </c>
      <c r="C61" s="93" t="str">
        <f t="shared" si="3"/>
        <v>Don't Use</v>
      </c>
      <c r="D61" s="105" t="str">
        <f t="shared" si="4"/>
        <v>Don't Use</v>
      </c>
      <c r="E61" s="22" t="str">
        <f t="shared" si="5"/>
        <v>Don't Use</v>
      </c>
      <c r="F61" s="22" t="str">
        <f t="shared" si="6"/>
        <v>Don't Use</v>
      </c>
      <c r="G61" s="22" t="str">
        <f t="shared" si="7"/>
        <v>Don't Use</v>
      </c>
      <c r="H61" s="35"/>
    </row>
    <row r="62" spans="1:9">
      <c r="A62" s="18" t="s">
        <v>5</v>
      </c>
      <c r="B62" s="19" t="s">
        <v>5</v>
      </c>
      <c r="C62" s="20" t="s">
        <v>5</v>
      </c>
      <c r="D62" s="20" t="s">
        <v>5</v>
      </c>
      <c r="E62" s="21" t="s">
        <v>5</v>
      </c>
      <c r="F62" s="21" t="s">
        <v>5</v>
      </c>
      <c r="G62" s="18" t="s">
        <v>5</v>
      </c>
      <c r="H62" s="35"/>
    </row>
    <row r="63" spans="1:9">
      <c r="A63" s="5" t="s">
        <v>83</v>
      </c>
      <c r="B63" s="1"/>
      <c r="C63" s="2"/>
      <c r="D63" s="2"/>
      <c r="E63" s="3"/>
      <c r="F63" s="3"/>
    </row>
    <row r="64" spans="1:9">
      <c r="A64" s="5" t="s">
        <v>86</v>
      </c>
      <c r="B64" s="1"/>
      <c r="C64" s="2"/>
      <c r="D64" s="2"/>
      <c r="E64" s="3"/>
      <c r="F64" s="3"/>
    </row>
  </sheetData>
  <sheetProtection sheet="1" objects="1" scenarios="1"/>
  <phoneticPr fontId="3" type="noConversion"/>
  <dataValidations count="1">
    <dataValidation type="list" allowBlank="1" showInputMessage="1" showErrorMessage="1" sqref="E17" xr:uid="{00000000-0002-0000-0100-000000000000}">
      <formula1>"Hay 1 Silage, Hay 2 Silage, Hay 3 Silage, Corn Silage, My Silage"</formula1>
    </dataValidation>
  </dataValidations>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11893"/>
  </sheetPr>
  <dimension ref="A1:T64"/>
  <sheetViews>
    <sheetView showGridLines="0" zoomScale="80" zoomScaleNormal="80" workbookViewId="0"/>
  </sheetViews>
  <sheetFormatPr defaultColWidth="8.85546875" defaultRowHeight="12.75"/>
  <cols>
    <col min="1" max="1" width="19.85546875" customWidth="1"/>
    <col min="2" max="2" width="19.42578125" customWidth="1"/>
    <col min="3" max="3" width="17.28515625" style="221" customWidth="1"/>
    <col min="4" max="4" width="19.42578125" customWidth="1"/>
    <col min="5" max="5" width="31.7109375" customWidth="1"/>
    <col min="6" max="6" width="18.140625" customWidth="1"/>
    <col min="7" max="7" width="15.140625" customWidth="1"/>
    <col min="8" max="8" width="11.85546875" customWidth="1"/>
    <col min="9" max="9" width="19.42578125" customWidth="1"/>
    <col min="12" max="12" width="11.7109375" customWidth="1"/>
    <col min="13" max="13" width="11.140625" customWidth="1"/>
    <col min="14" max="14" width="10.85546875" customWidth="1"/>
    <col min="16" max="16" width="24.7109375" customWidth="1"/>
    <col min="17" max="17" width="10.7109375" customWidth="1"/>
    <col min="18" max="18" width="10.5703125" customWidth="1"/>
    <col min="19" max="19" width="10.42578125" customWidth="1"/>
    <col min="20" max="20" width="9.42578125" customWidth="1"/>
  </cols>
  <sheetData>
    <row r="1" spans="1:20">
      <c r="A1" s="45" t="s">
        <v>475</v>
      </c>
      <c r="B1" s="1"/>
      <c r="C1" s="209"/>
      <c r="D1" s="2"/>
      <c r="E1" s="3"/>
      <c r="F1" s="3"/>
    </row>
    <row r="2" spans="1:20">
      <c r="B2" s="7" t="s">
        <v>476</v>
      </c>
      <c r="C2" s="209"/>
      <c r="D2" s="2"/>
      <c r="E2" s="3"/>
      <c r="F2" s="3"/>
    </row>
    <row r="3" spans="1:20">
      <c r="A3" t="s">
        <v>1</v>
      </c>
      <c r="B3" s="1"/>
      <c r="C3" s="209"/>
      <c r="D3" s="2"/>
      <c r="E3" s="3"/>
      <c r="F3" s="3"/>
    </row>
    <row r="4" spans="1:20">
      <c r="A4" t="s">
        <v>477</v>
      </c>
      <c r="B4" s="1"/>
      <c r="C4" s="209"/>
      <c r="D4" s="2"/>
      <c r="E4" s="3"/>
      <c r="F4" s="3"/>
    </row>
    <row r="5" spans="1:20">
      <c r="A5" t="s">
        <v>478</v>
      </c>
      <c r="B5" s="1"/>
      <c r="C5" s="209"/>
      <c r="D5" s="2"/>
      <c r="E5" s="3"/>
      <c r="F5" s="3"/>
    </row>
    <row r="6" spans="1:20">
      <c r="A6" t="s">
        <v>4</v>
      </c>
      <c r="B6" s="1"/>
      <c r="C6" s="209"/>
      <c r="D6" s="2"/>
      <c r="E6" s="3"/>
      <c r="F6" s="3"/>
      <c r="H6" s="35"/>
      <c r="I6" s="36" t="s">
        <v>479</v>
      </c>
      <c r="J6" s="37"/>
      <c r="K6" s="37"/>
      <c r="L6" s="37"/>
      <c r="M6" s="37"/>
      <c r="N6" s="37"/>
      <c r="O6" s="37"/>
      <c r="P6" s="37"/>
      <c r="Q6" s="37"/>
      <c r="R6" s="37"/>
      <c r="S6" s="37"/>
      <c r="T6" s="37"/>
    </row>
    <row r="7" spans="1:20">
      <c r="A7" t="s">
        <v>89</v>
      </c>
      <c r="B7" s="1"/>
      <c r="C7" s="209"/>
      <c r="D7" s="2"/>
      <c r="E7" s="3"/>
      <c r="F7" s="3"/>
      <c r="H7" s="35"/>
      <c r="I7" s="38" t="s">
        <v>5</v>
      </c>
      <c r="J7" s="38" t="s">
        <v>5</v>
      </c>
      <c r="K7" s="38" t="s">
        <v>5</v>
      </c>
      <c r="L7" s="38" t="s">
        <v>5</v>
      </c>
      <c r="M7" s="38" t="s">
        <v>5</v>
      </c>
      <c r="N7" s="38" t="s">
        <v>5</v>
      </c>
      <c r="O7" s="38" t="s">
        <v>5</v>
      </c>
      <c r="P7" s="38" t="s">
        <v>5</v>
      </c>
      <c r="Q7" s="38" t="s">
        <v>5</v>
      </c>
      <c r="R7" s="38" t="s">
        <v>5</v>
      </c>
      <c r="S7" s="38" t="s">
        <v>5</v>
      </c>
      <c r="T7" s="38" t="s">
        <v>5</v>
      </c>
    </row>
    <row r="8" spans="1:20">
      <c r="A8" t="s">
        <v>75</v>
      </c>
      <c r="B8" s="1"/>
      <c r="C8" s="209"/>
      <c r="D8" s="2"/>
      <c r="E8" s="3"/>
      <c r="F8" s="3"/>
      <c r="H8" s="35"/>
      <c r="I8" s="37"/>
      <c r="J8" s="37"/>
      <c r="K8" s="37"/>
      <c r="L8" s="37" t="s">
        <v>480</v>
      </c>
      <c r="M8" s="37" t="s">
        <v>481</v>
      </c>
      <c r="N8" s="37" t="s">
        <v>482</v>
      </c>
      <c r="O8" s="37" t="s">
        <v>483</v>
      </c>
      <c r="P8" s="37"/>
      <c r="Q8" s="37" t="s">
        <v>480</v>
      </c>
      <c r="R8" s="37" t="s">
        <v>481</v>
      </c>
      <c r="S8" s="37" t="s">
        <v>482</v>
      </c>
      <c r="T8" s="37" t="s">
        <v>483</v>
      </c>
    </row>
    <row r="9" spans="1:20">
      <c r="B9" s="1"/>
      <c r="C9" s="209"/>
      <c r="E9" s="44"/>
      <c r="F9" s="44"/>
      <c r="G9" s="35"/>
      <c r="H9" s="35"/>
      <c r="I9" s="37"/>
      <c r="J9" s="37" t="s">
        <v>484</v>
      </c>
      <c r="K9" s="37"/>
      <c r="L9" s="37"/>
      <c r="M9" s="37"/>
      <c r="N9" s="37"/>
      <c r="O9" s="37" t="s">
        <v>485</v>
      </c>
      <c r="P9" s="37"/>
      <c r="Q9" s="37"/>
      <c r="R9" s="37"/>
      <c r="S9" s="37"/>
      <c r="T9" s="37" t="s">
        <v>485</v>
      </c>
    </row>
    <row r="10" spans="1:20">
      <c r="B10" s="1"/>
      <c r="C10" s="209"/>
      <c r="D10" s="2"/>
      <c r="E10" s="3"/>
      <c r="F10" s="3"/>
      <c r="H10" s="35"/>
      <c r="I10" s="37"/>
      <c r="J10" s="37" t="s">
        <v>486</v>
      </c>
      <c r="K10" s="37"/>
      <c r="L10" s="37"/>
      <c r="M10" s="37"/>
      <c r="N10" s="37"/>
      <c r="O10" s="37"/>
      <c r="P10" s="37"/>
      <c r="Q10" s="37"/>
      <c r="R10" s="37"/>
      <c r="S10" s="37"/>
      <c r="T10" s="37"/>
    </row>
    <row r="11" spans="1:20">
      <c r="B11" s="1"/>
      <c r="C11" s="209"/>
      <c r="D11" s="2"/>
      <c r="E11" s="3"/>
      <c r="F11" s="3"/>
      <c r="H11" s="35"/>
      <c r="I11" s="37" t="s">
        <v>487</v>
      </c>
      <c r="J11" s="37" t="s">
        <v>488</v>
      </c>
      <c r="K11" s="37" t="s">
        <v>16</v>
      </c>
      <c r="L11" s="39" t="s">
        <v>558</v>
      </c>
      <c r="M11" s="37"/>
      <c r="N11" s="37"/>
      <c r="O11" s="37"/>
      <c r="P11" s="37"/>
      <c r="Q11" s="39" t="s">
        <v>558</v>
      </c>
      <c r="R11" s="37"/>
      <c r="S11" s="37"/>
      <c r="T11" s="37"/>
    </row>
    <row r="12" spans="1:20">
      <c r="B12" s="1"/>
      <c r="C12" s="210" t="s">
        <v>489</v>
      </c>
      <c r="D12" s="8"/>
      <c r="E12" s="9"/>
      <c r="F12" s="9"/>
      <c r="G12" s="211"/>
      <c r="H12" s="35"/>
      <c r="I12" s="38" t="s">
        <v>5</v>
      </c>
      <c r="J12" s="38" t="s">
        <v>5</v>
      </c>
      <c r="K12" s="38" t="s">
        <v>5</v>
      </c>
      <c r="L12" s="38" t="s">
        <v>5</v>
      </c>
      <c r="M12" s="38" t="s">
        <v>5</v>
      </c>
      <c r="N12" s="38" t="s">
        <v>5</v>
      </c>
      <c r="O12" s="38" t="s">
        <v>5</v>
      </c>
      <c r="P12" s="38" t="s">
        <v>5</v>
      </c>
      <c r="Q12" s="38" t="s">
        <v>5</v>
      </c>
      <c r="R12" s="38" t="s">
        <v>5</v>
      </c>
      <c r="S12" s="38" t="s">
        <v>5</v>
      </c>
      <c r="T12" s="38" t="s">
        <v>5</v>
      </c>
    </row>
    <row r="13" spans="1:20">
      <c r="A13" s="26" t="s">
        <v>490</v>
      </c>
      <c r="B13" s="27"/>
      <c r="C13" s="210"/>
      <c r="D13" s="8"/>
      <c r="E13" s="9"/>
      <c r="F13" s="9"/>
      <c r="G13" s="212"/>
      <c r="H13" s="35"/>
      <c r="I13" s="37" t="s">
        <v>491</v>
      </c>
      <c r="J13" s="37"/>
      <c r="K13" s="37">
        <f>SUM(J14:J17)</f>
        <v>68</v>
      </c>
      <c r="L13" s="37"/>
      <c r="M13" s="37"/>
      <c r="N13" s="37"/>
      <c r="O13" s="37"/>
      <c r="P13" s="37"/>
      <c r="Q13" s="37"/>
      <c r="R13" s="37"/>
      <c r="S13" s="37"/>
      <c r="T13" s="37"/>
    </row>
    <row r="14" spans="1:20">
      <c r="A14" s="33" t="s">
        <v>92</v>
      </c>
      <c r="B14" s="33" t="s">
        <v>92</v>
      </c>
      <c r="C14" s="213" t="s">
        <v>92</v>
      </c>
      <c r="D14" s="33" t="s">
        <v>92</v>
      </c>
      <c r="E14" s="33" t="s">
        <v>92</v>
      </c>
      <c r="F14" s="33" t="s">
        <v>92</v>
      </c>
      <c r="G14" s="212"/>
      <c r="H14" s="35"/>
      <c r="I14" s="40" t="s">
        <v>20</v>
      </c>
      <c r="J14" s="11">
        <v>8</v>
      </c>
      <c r="K14" s="42"/>
      <c r="L14" s="11">
        <v>0</v>
      </c>
      <c r="M14" s="11">
        <v>0</v>
      </c>
      <c r="N14" s="11">
        <v>9.1</v>
      </c>
      <c r="O14" s="11">
        <v>0</v>
      </c>
      <c r="P14" s="37"/>
      <c r="Q14" s="163">
        <f>L14*$J$14</f>
        <v>0</v>
      </c>
      <c r="R14" s="163">
        <f>M14*$J$14</f>
        <v>0</v>
      </c>
      <c r="S14" s="163">
        <f>N14*$J$14</f>
        <v>72.8</v>
      </c>
      <c r="T14" s="163">
        <f>O14*$J$14</f>
        <v>0</v>
      </c>
    </row>
    <row r="15" spans="1:20">
      <c r="A15" s="10" t="s">
        <v>557</v>
      </c>
      <c r="B15" s="27"/>
      <c r="C15" s="210"/>
      <c r="D15" s="8" t="s">
        <v>492</v>
      </c>
      <c r="E15" s="12">
        <v>2.7</v>
      </c>
      <c r="F15" s="9"/>
      <c r="G15" s="211"/>
      <c r="H15" s="35"/>
      <c r="I15" s="40" t="s">
        <v>493</v>
      </c>
      <c r="J15" s="11">
        <v>22</v>
      </c>
      <c r="K15" s="42"/>
      <c r="L15" s="11">
        <v>0</v>
      </c>
      <c r="M15" s="11">
        <v>4.5</v>
      </c>
      <c r="N15" s="11">
        <v>6.8</v>
      </c>
      <c r="O15" s="11">
        <v>0</v>
      </c>
      <c r="P15" s="37"/>
      <c r="Q15" s="163">
        <f>L15*$J$15</f>
        <v>0</v>
      </c>
      <c r="R15" s="163">
        <f>M15*$J$15</f>
        <v>99</v>
      </c>
      <c r="S15" s="163">
        <f>N15*$J$15</f>
        <v>149.6</v>
      </c>
      <c r="T15" s="163">
        <f>O15*$J$15</f>
        <v>0</v>
      </c>
    </row>
    <row r="16" spans="1:20">
      <c r="A16" s="33"/>
      <c r="B16" s="29"/>
      <c r="C16" s="210"/>
      <c r="D16" s="30"/>
      <c r="E16" s="31"/>
      <c r="F16" s="31"/>
      <c r="G16" s="214"/>
      <c r="H16" s="35"/>
      <c r="I16" s="40" t="s">
        <v>494</v>
      </c>
      <c r="J16" s="11">
        <v>22</v>
      </c>
      <c r="K16" s="42"/>
      <c r="L16" s="11">
        <v>0</v>
      </c>
      <c r="M16" s="11">
        <v>4.4000000000000004</v>
      </c>
      <c r="N16" s="11">
        <v>6.8</v>
      </c>
      <c r="O16" s="11">
        <v>0</v>
      </c>
      <c r="P16" s="37"/>
      <c r="Q16" s="163">
        <f>L16*$J$16</f>
        <v>0</v>
      </c>
      <c r="R16" s="163">
        <f>M16*$J$16</f>
        <v>96.800000000000011</v>
      </c>
      <c r="S16" s="163">
        <f>N16*$J$16</f>
        <v>149.6</v>
      </c>
      <c r="T16" s="163">
        <f>O16*$J$16</f>
        <v>0</v>
      </c>
    </row>
    <row r="17" spans="1:20">
      <c r="A17" s="10" t="s">
        <v>495</v>
      </c>
      <c r="B17" s="27"/>
      <c r="C17" s="210"/>
      <c r="D17" s="8"/>
      <c r="E17" s="121" t="s">
        <v>556</v>
      </c>
      <c r="F17" s="53" t="s">
        <v>496</v>
      </c>
      <c r="G17" s="212"/>
      <c r="I17" s="40" t="s">
        <v>497</v>
      </c>
      <c r="J17" s="11">
        <v>16</v>
      </c>
      <c r="K17" s="42"/>
      <c r="L17" s="11">
        <v>0</v>
      </c>
      <c r="M17" s="11">
        <v>9.1</v>
      </c>
      <c r="N17" s="11">
        <v>0</v>
      </c>
      <c r="O17" s="11">
        <v>1.4</v>
      </c>
      <c r="P17" s="37"/>
      <c r="Q17" s="163">
        <f>L17*$J$17</f>
        <v>0</v>
      </c>
      <c r="R17" s="163">
        <f>M17*$J$17</f>
        <v>145.6</v>
      </c>
      <c r="S17" s="163">
        <f>N17*$J$17</f>
        <v>0</v>
      </c>
      <c r="T17" s="163">
        <f>O17*$J$17</f>
        <v>22.4</v>
      </c>
    </row>
    <row r="18" spans="1:20">
      <c r="A18" s="10"/>
      <c r="B18" s="27"/>
      <c r="C18" s="210"/>
      <c r="D18" s="8"/>
      <c r="E18" s="32"/>
      <c r="F18" s="53" t="s">
        <v>498</v>
      </c>
      <c r="G18" s="212"/>
      <c r="I18" s="37"/>
      <c r="J18" s="43"/>
      <c r="K18" s="42"/>
      <c r="L18" s="43"/>
      <c r="M18" s="43"/>
      <c r="N18" s="43"/>
      <c r="O18" s="43"/>
      <c r="P18" s="37"/>
      <c r="Q18" s="163"/>
      <c r="R18" s="163"/>
      <c r="S18" s="163"/>
      <c r="T18" s="163"/>
    </row>
    <row r="19" spans="1:20">
      <c r="A19" s="10" t="s">
        <v>499</v>
      </c>
      <c r="B19" s="27"/>
      <c r="C19" s="210"/>
      <c r="D19" s="8" t="s">
        <v>492</v>
      </c>
      <c r="E19" s="161">
        <f>IF(E17="Ensilage de maïs",T44,IF(E17="Ensilage 1",Q44, IF(E17="Ensilage 2",R44,IF(E17="Ensilage 3", S44,IF(E17="Mon ensilage",F21)))))</f>
        <v>2721</v>
      </c>
      <c r="F19" s="54" t="str">
        <f>IF(E17="Mon ensilage", " ", "Calcul de la matière sèche de l'ensilage")</f>
        <v xml:space="preserve"> </v>
      </c>
      <c r="G19" s="215"/>
      <c r="H19" s="55"/>
      <c r="I19" s="37" t="s">
        <v>500</v>
      </c>
      <c r="J19" s="11">
        <v>20</v>
      </c>
      <c r="K19" s="202">
        <f>J19</f>
        <v>20</v>
      </c>
      <c r="L19" s="11">
        <v>6.8</v>
      </c>
      <c r="M19" s="11">
        <v>4.5</v>
      </c>
      <c r="N19" s="11">
        <v>0</v>
      </c>
      <c r="O19" s="11">
        <v>1.4</v>
      </c>
      <c r="P19" s="37"/>
      <c r="Q19" s="163">
        <f>L19*$J$19</f>
        <v>136</v>
      </c>
      <c r="R19" s="163">
        <f>M19*$J$19</f>
        <v>90</v>
      </c>
      <c r="S19" s="163">
        <f>N19*$J$19</f>
        <v>0</v>
      </c>
      <c r="T19" s="163">
        <f>O19*$J$19</f>
        <v>28</v>
      </c>
    </row>
    <row r="20" spans="1:20">
      <c r="A20" s="10"/>
      <c r="B20" s="27"/>
      <c r="C20" s="210"/>
      <c r="D20" s="8"/>
      <c r="E20" s="32"/>
      <c r="F20" s="54" t="str">
        <f>IF(E17="Mon ensilage", " ", "Table, Ligne 44")</f>
        <v xml:space="preserve"> </v>
      </c>
      <c r="G20" s="215"/>
      <c r="H20" s="55"/>
      <c r="I20" s="37"/>
      <c r="J20" s="43"/>
      <c r="K20" s="202"/>
      <c r="L20" s="43"/>
      <c r="M20" s="43"/>
      <c r="N20" s="43"/>
      <c r="O20" s="43"/>
      <c r="P20" s="37"/>
      <c r="Q20" s="163"/>
      <c r="R20" s="163"/>
      <c r="S20" s="163"/>
      <c r="T20" s="163"/>
    </row>
    <row r="21" spans="1:20">
      <c r="A21" s="59" t="str">
        <f>IF(E17="Mon ensilage", "Mon ensilage, si vous n'avez pas utilisé le Calcul de la matière sèche de l'ensilage  (Kg MS/ tête/ jour) =", "  ")</f>
        <v>Mon ensilage, si vous n'avez pas utilisé le Calcul de la matière sèche de l'ensilage  (Kg MS/ tête/ jour) =</v>
      </c>
      <c r="B21" s="56"/>
      <c r="C21" s="216"/>
      <c r="D21" s="8"/>
      <c r="E21" s="32"/>
      <c r="F21" s="63">
        <v>2721</v>
      </c>
      <c r="G21" s="217" t="str">
        <f>IF(E17="Mon ensilage","Mon ensilage","   ")</f>
        <v>Mon ensilage</v>
      </c>
      <c r="I21" s="37" t="s">
        <v>501</v>
      </c>
      <c r="J21" s="11">
        <v>6</v>
      </c>
      <c r="K21" s="202">
        <f>J21</f>
        <v>6</v>
      </c>
      <c r="L21" s="11">
        <v>4.5</v>
      </c>
      <c r="M21" s="11">
        <v>2.2999999999999998</v>
      </c>
      <c r="N21" s="11">
        <v>0</v>
      </c>
      <c r="O21" s="11">
        <v>4.5</v>
      </c>
      <c r="P21" s="37"/>
      <c r="Q21" s="163">
        <f>L21*$J21</f>
        <v>27</v>
      </c>
      <c r="R21" s="163">
        <f>M21*$J21</f>
        <v>13.799999999999999</v>
      </c>
      <c r="S21" s="163">
        <f>N21*$J21</f>
        <v>0</v>
      </c>
      <c r="T21" s="163">
        <f>O21*$J21</f>
        <v>27</v>
      </c>
    </row>
    <row r="22" spans="1:20">
      <c r="A22" s="10" t="s">
        <v>502</v>
      </c>
      <c r="B22" s="27"/>
      <c r="C22" s="210"/>
      <c r="D22" s="8" t="s">
        <v>492</v>
      </c>
      <c r="E22" s="12">
        <v>10</v>
      </c>
      <c r="F22" s="9"/>
      <c r="G22" s="211"/>
      <c r="H22" s="35"/>
      <c r="I22" s="37"/>
      <c r="J22" s="43"/>
      <c r="K22" s="202"/>
      <c r="L22" s="43"/>
      <c r="M22" s="43"/>
      <c r="N22" s="43"/>
      <c r="O22" s="43"/>
      <c r="P22" s="37"/>
      <c r="Q22" s="163"/>
      <c r="R22" s="163"/>
      <c r="S22" s="163"/>
      <c r="T22" s="163"/>
    </row>
    <row r="23" spans="1:20">
      <c r="A23" s="10" t="s">
        <v>503</v>
      </c>
      <c r="B23" s="27"/>
      <c r="C23" s="210"/>
      <c r="D23" s="8"/>
      <c r="E23" s="32"/>
      <c r="F23" s="9"/>
      <c r="G23" s="211"/>
      <c r="H23" s="35"/>
      <c r="I23" s="37" t="s">
        <v>504</v>
      </c>
      <c r="J23" s="11">
        <v>110</v>
      </c>
      <c r="K23" s="202">
        <f>J23</f>
        <v>110</v>
      </c>
      <c r="L23" s="11">
        <v>4.5</v>
      </c>
      <c r="M23" s="11">
        <v>0</v>
      </c>
      <c r="N23" s="11">
        <v>0</v>
      </c>
      <c r="O23" s="11">
        <v>6.8</v>
      </c>
      <c r="P23" s="37"/>
      <c r="Q23" s="163">
        <f>L23*$J$23</f>
        <v>495</v>
      </c>
      <c r="R23" s="163">
        <f>M23*$J$23</f>
        <v>0</v>
      </c>
      <c r="S23" s="163">
        <f>N23*$J$23</f>
        <v>0</v>
      </c>
      <c r="T23" s="163">
        <f>O23*$J$23</f>
        <v>748</v>
      </c>
    </row>
    <row r="24" spans="1:20">
      <c r="A24" s="10"/>
      <c r="B24" s="27"/>
      <c r="C24" s="210"/>
      <c r="D24" s="8"/>
      <c r="E24" s="32"/>
      <c r="F24" s="9"/>
      <c r="G24" s="185" t="s">
        <v>505</v>
      </c>
      <c r="H24" s="191">
        <f>E32*39.37</f>
        <v>11.810999999999998</v>
      </c>
      <c r="I24" s="37"/>
      <c r="J24" s="200"/>
      <c r="K24" s="202"/>
      <c r="L24" s="200"/>
      <c r="M24" s="200"/>
      <c r="N24" s="200"/>
      <c r="O24" s="200"/>
      <c r="P24" s="37"/>
      <c r="Q24" s="163"/>
      <c r="R24" s="163"/>
      <c r="S24" s="163"/>
      <c r="T24" s="163"/>
    </row>
    <row r="25" spans="1:20">
      <c r="A25" s="10" t="s">
        <v>506</v>
      </c>
      <c r="B25" s="27"/>
      <c r="C25" s="210"/>
      <c r="D25" s="8" t="s">
        <v>492</v>
      </c>
      <c r="E25" s="12">
        <v>5</v>
      </c>
      <c r="F25" s="9"/>
      <c r="G25" s="185" t="s">
        <v>507</v>
      </c>
      <c r="H25" s="191">
        <f>E28*0.062</f>
        <v>43.71</v>
      </c>
      <c r="I25" s="37" t="s">
        <v>508</v>
      </c>
      <c r="J25" s="200"/>
      <c r="K25" s="202">
        <f>SUM(J26:J28)</f>
        <v>226</v>
      </c>
      <c r="L25" s="200"/>
      <c r="M25" s="200"/>
      <c r="N25" s="200"/>
      <c r="O25" s="200"/>
      <c r="P25" s="37"/>
      <c r="Q25" s="163"/>
      <c r="R25" s="163"/>
      <c r="S25" s="163"/>
      <c r="T25" s="163"/>
    </row>
    <row r="26" spans="1:20">
      <c r="A26" s="10" t="s">
        <v>509</v>
      </c>
      <c r="B26" s="27"/>
      <c r="C26" s="210"/>
      <c r="D26" s="8"/>
      <c r="E26" s="32"/>
      <c r="F26" s="9"/>
      <c r="G26" s="185" t="s">
        <v>510</v>
      </c>
      <c r="H26" s="191">
        <f>100-E30</f>
        <v>33</v>
      </c>
      <c r="I26" s="40" t="s">
        <v>511</v>
      </c>
      <c r="J26" s="11">
        <v>90</v>
      </c>
      <c r="K26" s="42"/>
      <c r="L26" s="11">
        <v>4.5</v>
      </c>
      <c r="M26" s="11">
        <v>0</v>
      </c>
      <c r="N26" s="11">
        <v>0</v>
      </c>
      <c r="O26" s="11">
        <v>6.8</v>
      </c>
      <c r="P26" s="37"/>
      <c r="Q26" s="163">
        <f>L26*$J$26</f>
        <v>405</v>
      </c>
      <c r="R26" s="163">
        <f>M26*$J$26</f>
        <v>0</v>
      </c>
      <c r="S26" s="163">
        <f>N26*$J$26</f>
        <v>0</v>
      </c>
      <c r="T26" s="163">
        <f>O26*$J$26</f>
        <v>612</v>
      </c>
    </row>
    <row r="27" spans="1:20">
      <c r="A27" s="10"/>
      <c r="B27" s="27"/>
      <c r="C27" s="210"/>
      <c r="D27" s="8"/>
      <c r="E27" s="32"/>
      <c r="F27" s="9"/>
      <c r="G27" s="185" t="s">
        <v>512</v>
      </c>
      <c r="H27" s="191">
        <f>H25*H26/100</f>
        <v>14.424300000000001</v>
      </c>
      <c r="I27" s="40" t="s">
        <v>513</v>
      </c>
      <c r="J27" s="11">
        <v>68</v>
      </c>
      <c r="K27" s="42"/>
      <c r="L27" s="11">
        <v>6.8</v>
      </c>
      <c r="M27" s="11">
        <v>2.2999999999999998</v>
      </c>
      <c r="N27" s="11">
        <v>0</v>
      </c>
      <c r="O27" s="11">
        <v>4.5</v>
      </c>
      <c r="P27" s="37"/>
      <c r="Q27" s="163">
        <f>L27*$J$27</f>
        <v>462.4</v>
      </c>
      <c r="R27" s="163">
        <f>M27*$J$27</f>
        <v>156.39999999999998</v>
      </c>
      <c r="S27" s="163">
        <f>N27*$J$27</f>
        <v>0</v>
      </c>
      <c r="T27" s="163">
        <f>O27*$J$27</f>
        <v>306</v>
      </c>
    </row>
    <row r="28" spans="1:20">
      <c r="A28" s="10" t="s">
        <v>514</v>
      </c>
      <c r="B28" s="27"/>
      <c r="C28" s="210"/>
      <c r="D28" s="8" t="s">
        <v>492</v>
      </c>
      <c r="E28" s="12">
        <v>705</v>
      </c>
      <c r="F28" s="9"/>
      <c r="G28" s="185" t="s">
        <v>515</v>
      </c>
      <c r="H28" s="191">
        <f>100*(1-(H27/(62.4*1.5)+(H25-H27)/62.4))</f>
        <v>37.657211538461532</v>
      </c>
      <c r="I28" s="40" t="s">
        <v>516</v>
      </c>
      <c r="J28" s="11">
        <v>68</v>
      </c>
      <c r="K28" s="42"/>
      <c r="L28" s="11">
        <v>4.5</v>
      </c>
      <c r="M28" s="11">
        <v>4.5</v>
      </c>
      <c r="N28" s="11">
        <v>0</v>
      </c>
      <c r="O28" s="11">
        <v>4.5</v>
      </c>
      <c r="P28" s="37"/>
      <c r="Q28" s="163">
        <f>L28*$J$28</f>
        <v>306</v>
      </c>
      <c r="R28" s="163">
        <f>M28*$J$28</f>
        <v>306</v>
      </c>
      <c r="S28" s="163">
        <f>N28*$J$28</f>
        <v>0</v>
      </c>
      <c r="T28" s="163">
        <f>O28*$J$28</f>
        <v>306</v>
      </c>
    </row>
    <row r="29" spans="1:20">
      <c r="A29" s="10"/>
      <c r="B29" s="27"/>
      <c r="C29" s="210"/>
      <c r="D29" s="8"/>
      <c r="E29" s="32"/>
      <c r="F29" s="9"/>
      <c r="G29" s="185" t="s">
        <v>517</v>
      </c>
      <c r="H29" s="191">
        <f>40*H26/100</f>
        <v>13.2</v>
      </c>
      <c r="I29" s="37"/>
      <c r="J29" s="200"/>
      <c r="K29" s="202"/>
      <c r="L29" s="200"/>
      <c r="M29" s="200"/>
      <c r="N29" s="200"/>
      <c r="O29" s="200"/>
      <c r="P29" s="37"/>
      <c r="Q29" s="163"/>
      <c r="R29" s="163"/>
      <c r="S29" s="163"/>
      <c r="T29" s="163"/>
    </row>
    <row r="30" spans="1:20">
      <c r="A30" s="10" t="s">
        <v>518</v>
      </c>
      <c r="B30" s="27"/>
      <c r="C30" s="210"/>
      <c r="D30" s="8" t="s">
        <v>492</v>
      </c>
      <c r="E30" s="12">
        <v>67</v>
      </c>
      <c r="F30" s="9"/>
      <c r="G30" s="185" t="s">
        <v>519</v>
      </c>
      <c r="H30" s="191">
        <f>100*(1-(H29/(62.4*1.5)+(40-H29)/62.4))</f>
        <v>42.948717948717949</v>
      </c>
      <c r="I30" s="37" t="s">
        <v>520</v>
      </c>
      <c r="J30" s="11">
        <v>10</v>
      </c>
      <c r="K30" s="203">
        <f>J30</f>
        <v>10</v>
      </c>
      <c r="L30" s="11">
        <v>11.4</v>
      </c>
      <c r="M30" s="11">
        <v>2.2999999999999998</v>
      </c>
      <c r="N30" s="11">
        <v>0</v>
      </c>
      <c r="O30" s="11">
        <v>2.2999999999999998</v>
      </c>
      <c r="P30" s="37"/>
      <c r="Q30" s="163">
        <f>L30*$J$30</f>
        <v>114</v>
      </c>
      <c r="R30" s="163">
        <f>M30*$J$30</f>
        <v>23</v>
      </c>
      <c r="S30" s="163">
        <f>N30*$J$30</f>
        <v>0</v>
      </c>
      <c r="T30" s="163">
        <f>O30*$J$30</f>
        <v>23</v>
      </c>
    </row>
    <row r="31" spans="1:20">
      <c r="A31" s="10"/>
      <c r="B31" s="27"/>
      <c r="C31" s="210"/>
      <c r="D31" s="8"/>
      <c r="E31" s="32"/>
      <c r="F31" s="9"/>
      <c r="G31" s="188"/>
      <c r="H31" s="194"/>
      <c r="I31" s="38" t="s">
        <v>39</v>
      </c>
      <c r="J31" s="201" t="s">
        <v>39</v>
      </c>
      <c r="K31" s="206" t="s">
        <v>39</v>
      </c>
      <c r="L31" s="201" t="s">
        <v>39</v>
      </c>
      <c r="M31" s="201" t="s">
        <v>39</v>
      </c>
      <c r="N31" s="201" t="s">
        <v>39</v>
      </c>
      <c r="O31" s="201" t="s">
        <v>39</v>
      </c>
      <c r="P31" s="38" t="s">
        <v>39</v>
      </c>
      <c r="Q31" s="38" t="s">
        <v>39</v>
      </c>
      <c r="R31" s="38" t="s">
        <v>39</v>
      </c>
      <c r="S31" s="38" t="s">
        <v>39</v>
      </c>
      <c r="T31" s="38" t="s">
        <v>39</v>
      </c>
    </row>
    <row r="32" spans="1:20">
      <c r="A32" s="10" t="s">
        <v>521</v>
      </c>
      <c r="B32" s="27"/>
      <c r="C32" s="210"/>
      <c r="D32" s="8" t="s">
        <v>492</v>
      </c>
      <c r="E32" s="12">
        <v>0.3</v>
      </c>
      <c r="F32" s="9"/>
      <c r="G32" s="189">
        <f>(3+((H26-35)/100))*(H28/H30)*(6/H24)</f>
        <v>1.3273296585399141</v>
      </c>
      <c r="H32" s="188"/>
      <c r="I32" s="37" t="s">
        <v>522</v>
      </c>
      <c r="J32" s="200" t="s">
        <v>16</v>
      </c>
      <c r="K32" s="202">
        <f>SUM(K12:K30)</f>
        <v>440</v>
      </c>
      <c r="L32" s="200"/>
      <c r="M32" s="200"/>
      <c r="N32" s="200"/>
      <c r="O32" s="200"/>
      <c r="P32" s="37"/>
      <c r="Q32" s="37"/>
      <c r="R32" s="37"/>
      <c r="S32" s="37"/>
      <c r="T32" s="37"/>
    </row>
    <row r="33" spans="1:20">
      <c r="A33" s="10"/>
      <c r="B33" s="27"/>
      <c r="C33" s="210"/>
      <c r="D33" s="8"/>
      <c r="E33" s="32"/>
      <c r="F33" s="9"/>
      <c r="G33" s="211"/>
      <c r="H33" s="35"/>
      <c r="I33" s="41"/>
      <c r="J33" s="200"/>
      <c r="K33" s="202"/>
      <c r="L33" s="200"/>
      <c r="M33" s="200"/>
      <c r="N33" s="200"/>
      <c r="O33" s="200"/>
      <c r="P33" s="37"/>
      <c r="Q33" s="37"/>
      <c r="R33" s="37"/>
      <c r="S33" s="37"/>
      <c r="T33" s="37"/>
    </row>
    <row r="34" spans="1:20">
      <c r="A34" s="10" t="s">
        <v>523</v>
      </c>
      <c r="B34" s="27"/>
      <c r="C34" s="210"/>
      <c r="D34" s="8" t="s">
        <v>492</v>
      </c>
      <c r="E34" s="12">
        <v>360</v>
      </c>
      <c r="F34" s="9"/>
      <c r="G34" s="211"/>
      <c r="H34" s="35"/>
      <c r="I34" s="37" t="s">
        <v>524</v>
      </c>
      <c r="J34" s="200"/>
      <c r="K34" s="202"/>
      <c r="L34" s="200"/>
      <c r="M34" s="200"/>
      <c r="N34" s="200"/>
      <c r="O34" s="200"/>
      <c r="P34" s="37"/>
      <c r="Q34" s="37"/>
      <c r="R34" s="37"/>
      <c r="S34" s="37"/>
      <c r="T34" s="37"/>
    </row>
    <row r="35" spans="1:20">
      <c r="A35" s="10"/>
      <c r="B35" s="27"/>
      <c r="C35" s="210"/>
      <c r="D35" s="8"/>
      <c r="E35" s="32"/>
      <c r="F35" s="9"/>
      <c r="G35" s="211"/>
      <c r="H35" s="35"/>
      <c r="I35" s="40" t="s">
        <v>525</v>
      </c>
      <c r="J35" s="11">
        <v>48</v>
      </c>
      <c r="K35" s="42"/>
      <c r="L35" s="11">
        <v>1.4</v>
      </c>
      <c r="M35" s="11">
        <v>0</v>
      </c>
      <c r="N35" s="11">
        <v>0</v>
      </c>
      <c r="O35" s="11">
        <v>0.9</v>
      </c>
      <c r="P35" s="37"/>
      <c r="Q35" s="163">
        <f>L35*$J$35</f>
        <v>67.199999999999989</v>
      </c>
      <c r="R35" s="163">
        <f>M35*$J$35</f>
        <v>0</v>
      </c>
      <c r="S35" s="163">
        <f>N35*$J$35</f>
        <v>0</v>
      </c>
      <c r="T35" s="163">
        <f>O35*$J$35</f>
        <v>43.2</v>
      </c>
    </row>
    <row r="36" spans="1:20">
      <c r="A36" s="10" t="s">
        <v>526</v>
      </c>
      <c r="B36" s="27"/>
      <c r="C36" s="210"/>
      <c r="D36" s="8" t="s">
        <v>492</v>
      </c>
      <c r="E36" s="12">
        <v>46</v>
      </c>
      <c r="F36" s="9"/>
      <c r="G36" s="211"/>
      <c r="H36" s="35"/>
      <c r="I36" s="40" t="s">
        <v>527</v>
      </c>
      <c r="J36" s="11">
        <v>48</v>
      </c>
      <c r="K36" s="42"/>
      <c r="L36" s="11">
        <v>2.2999999999999998</v>
      </c>
      <c r="M36" s="11">
        <v>0</v>
      </c>
      <c r="N36" s="11">
        <v>0</v>
      </c>
      <c r="O36" s="11">
        <v>1.4</v>
      </c>
      <c r="P36" s="37"/>
      <c r="Q36" s="163">
        <f>L36*$J$36</f>
        <v>110.39999999999999</v>
      </c>
      <c r="R36" s="163">
        <f>M36*$J$36</f>
        <v>0</v>
      </c>
      <c r="S36" s="163">
        <f>N36*$J$36</f>
        <v>0</v>
      </c>
      <c r="T36" s="163">
        <f>O36*$J$36</f>
        <v>67.199999999999989</v>
      </c>
    </row>
    <row r="37" spans="1:20">
      <c r="A37" s="10" t="s">
        <v>528</v>
      </c>
      <c r="B37" s="27"/>
      <c r="C37" s="210"/>
      <c r="D37" s="8"/>
      <c r="E37" s="9"/>
      <c r="F37" s="9"/>
      <c r="G37" s="218"/>
      <c r="H37" s="35"/>
      <c r="I37" s="40" t="s">
        <v>529</v>
      </c>
      <c r="J37" s="11">
        <v>72</v>
      </c>
      <c r="K37" s="42"/>
      <c r="L37" s="11">
        <v>1.8</v>
      </c>
      <c r="M37" s="11">
        <v>0.9</v>
      </c>
      <c r="N37" s="11">
        <v>0</v>
      </c>
      <c r="O37" s="11">
        <v>2.2999999999999998</v>
      </c>
      <c r="P37" s="37"/>
      <c r="Q37" s="163">
        <f>L37*$J$37</f>
        <v>129.6</v>
      </c>
      <c r="R37" s="163">
        <f>M37*$J$37</f>
        <v>64.8</v>
      </c>
      <c r="S37" s="163">
        <f>N37*$J$37</f>
        <v>0</v>
      </c>
      <c r="T37" s="163">
        <f>O37*$J$37</f>
        <v>165.6</v>
      </c>
    </row>
    <row r="38" spans="1:20">
      <c r="A38" s="213" t="s">
        <v>559</v>
      </c>
      <c r="B38" s="28"/>
      <c r="C38" s="219"/>
      <c r="D38" s="28"/>
      <c r="E38" s="28"/>
      <c r="F38" s="28"/>
      <c r="G38" s="220"/>
      <c r="H38" s="35"/>
      <c r="I38" s="40" t="s">
        <v>530</v>
      </c>
      <c r="J38" s="11">
        <v>48</v>
      </c>
      <c r="K38" s="42"/>
      <c r="L38" s="11">
        <v>1.8</v>
      </c>
      <c r="M38" s="11">
        <v>1.8</v>
      </c>
      <c r="N38" s="11">
        <v>0</v>
      </c>
      <c r="O38" s="11">
        <v>2.7</v>
      </c>
      <c r="P38" s="37"/>
      <c r="Q38" s="163">
        <f>L38*$J$38</f>
        <v>86.4</v>
      </c>
      <c r="R38" s="163">
        <f>M38*$J$38</f>
        <v>86.4</v>
      </c>
      <c r="S38" s="163">
        <f>N38*$J$38</f>
        <v>0</v>
      </c>
      <c r="T38" s="163">
        <f>O38*$J$38</f>
        <v>129.60000000000002</v>
      </c>
    </row>
    <row r="39" spans="1:20" ht="15.75">
      <c r="H39" s="35"/>
      <c r="I39" s="40" t="s">
        <v>531</v>
      </c>
      <c r="J39" s="11">
        <v>156</v>
      </c>
      <c r="K39" s="42"/>
      <c r="L39" s="11">
        <v>3.2</v>
      </c>
      <c r="M39" s="11">
        <v>1.8</v>
      </c>
      <c r="N39" s="11">
        <v>0</v>
      </c>
      <c r="O39" s="11">
        <v>4.0999999999999996</v>
      </c>
      <c r="P39" s="37"/>
      <c r="Q39" s="163">
        <f>L39*$J$39</f>
        <v>499.20000000000005</v>
      </c>
      <c r="R39" s="163">
        <f>M39*$J$39</f>
        <v>280.8</v>
      </c>
      <c r="S39" s="163">
        <f>N39*$J$39</f>
        <v>0</v>
      </c>
      <c r="T39" s="163">
        <f>O39*$J$39</f>
        <v>639.59999999999991</v>
      </c>
    </row>
    <row r="40" spans="1:20">
      <c r="A40" s="13" t="s">
        <v>532</v>
      </c>
      <c r="B40" s="14"/>
      <c r="C40" s="222"/>
      <c r="D40" s="15"/>
      <c r="E40" s="16"/>
      <c r="F40" s="16"/>
      <c r="G40" s="17"/>
      <c r="H40" s="35"/>
      <c r="I40" s="38" t="s">
        <v>5</v>
      </c>
      <c r="J40" s="38" t="s">
        <v>5</v>
      </c>
      <c r="K40" s="206" t="s">
        <v>5</v>
      </c>
      <c r="L40" s="38" t="s">
        <v>5</v>
      </c>
      <c r="M40" s="38" t="s">
        <v>5</v>
      </c>
      <c r="N40" s="38" t="s">
        <v>5</v>
      </c>
      <c r="O40" s="38" t="s">
        <v>5</v>
      </c>
      <c r="P40" s="38" t="s">
        <v>5</v>
      </c>
      <c r="Q40" s="38" t="s">
        <v>5</v>
      </c>
      <c r="R40" s="38" t="s">
        <v>5</v>
      </c>
      <c r="S40" s="38" t="s">
        <v>5</v>
      </c>
      <c r="T40" s="38" t="s">
        <v>5</v>
      </c>
    </row>
    <row r="41" spans="1:20">
      <c r="A41" s="18" t="s">
        <v>5</v>
      </c>
      <c r="B41" s="19" t="s">
        <v>5</v>
      </c>
      <c r="C41" s="223" t="s">
        <v>533</v>
      </c>
      <c r="D41" s="20" t="s">
        <v>5</v>
      </c>
      <c r="E41" s="21" t="s">
        <v>5</v>
      </c>
      <c r="F41" s="21" t="s">
        <v>5</v>
      </c>
      <c r="G41" s="18" t="s">
        <v>5</v>
      </c>
      <c r="H41" s="35"/>
      <c r="I41" s="37" t="s">
        <v>534</v>
      </c>
      <c r="J41" s="37" t="s">
        <v>16</v>
      </c>
      <c r="K41" s="202">
        <f>SUM(J35:J39)</f>
        <v>372</v>
      </c>
      <c r="L41" s="37"/>
      <c r="M41" s="37"/>
      <c r="N41" s="37"/>
      <c r="O41" s="37"/>
      <c r="P41" s="37"/>
      <c r="Q41" s="37"/>
      <c r="R41" s="37"/>
      <c r="S41" s="37"/>
      <c r="T41" s="37"/>
    </row>
    <row r="42" spans="1:20">
      <c r="A42" s="67" t="s">
        <v>535</v>
      </c>
      <c r="B42" s="67" t="s">
        <v>536</v>
      </c>
      <c r="C42" s="68" t="s">
        <v>537</v>
      </c>
      <c r="D42" s="68" t="s">
        <v>538</v>
      </c>
      <c r="E42" s="69" t="s">
        <v>539</v>
      </c>
      <c r="F42" s="69" t="s">
        <v>540</v>
      </c>
      <c r="G42" s="67" t="s">
        <v>541</v>
      </c>
      <c r="H42" s="35"/>
      <c r="I42" s="37"/>
      <c r="J42" s="37"/>
      <c r="K42" s="202"/>
      <c r="L42" s="37"/>
      <c r="M42" s="37"/>
      <c r="N42" s="37"/>
      <c r="O42" s="37"/>
      <c r="P42" s="37"/>
      <c r="Q42" s="37"/>
      <c r="R42" s="37"/>
      <c r="S42" s="37"/>
      <c r="T42" s="37"/>
    </row>
    <row r="43" spans="1:20">
      <c r="A43" s="67" t="s">
        <v>542</v>
      </c>
      <c r="B43" s="70" t="s">
        <v>543</v>
      </c>
      <c r="C43" s="71" t="s">
        <v>105</v>
      </c>
      <c r="D43" s="68" t="s">
        <v>544</v>
      </c>
      <c r="E43" s="69" t="s">
        <v>545</v>
      </c>
      <c r="F43" s="69" t="s">
        <v>546</v>
      </c>
      <c r="G43" s="67" t="s">
        <v>547</v>
      </c>
      <c r="H43" s="35"/>
      <c r="I43" s="37"/>
      <c r="J43" s="37"/>
      <c r="K43" s="202"/>
      <c r="L43" s="37"/>
      <c r="M43" s="37"/>
      <c r="N43" s="37"/>
      <c r="O43" s="37"/>
      <c r="P43" s="37"/>
      <c r="Q43" s="37"/>
      <c r="R43" s="37"/>
      <c r="S43" s="37"/>
      <c r="T43" s="37"/>
    </row>
    <row r="44" spans="1:20">
      <c r="A44" s="67"/>
      <c r="B44" s="70" t="s">
        <v>544</v>
      </c>
      <c r="C44" s="68" t="s">
        <v>548</v>
      </c>
      <c r="D44" s="68"/>
      <c r="E44" s="69"/>
      <c r="F44" s="69" t="s">
        <v>549</v>
      </c>
      <c r="G44" s="67"/>
      <c r="H44" s="35"/>
      <c r="I44" s="37"/>
      <c r="J44" s="37"/>
      <c r="K44" s="202"/>
      <c r="L44" s="37"/>
      <c r="M44" s="37"/>
      <c r="N44" s="37" t="s">
        <v>550</v>
      </c>
      <c r="O44" s="37"/>
      <c r="P44" s="37"/>
      <c r="Q44" s="165">
        <f>SUM(Q14:Q39)</f>
        <v>2838.2</v>
      </c>
      <c r="R44" s="165">
        <f>SUM(R14:R39)</f>
        <v>1362.6</v>
      </c>
      <c r="S44" s="165">
        <f>SUM(S14:S39)</f>
        <v>372</v>
      </c>
      <c r="T44" s="165">
        <f>SUM(T14:T39)</f>
        <v>3117.5999999999995</v>
      </c>
    </row>
    <row r="45" spans="1:20">
      <c r="A45" s="67"/>
      <c r="B45" s="70"/>
      <c r="C45" s="67"/>
      <c r="D45" s="68"/>
      <c r="E45" s="69"/>
      <c r="F45" s="69" t="s">
        <v>551</v>
      </c>
      <c r="G45" s="67"/>
      <c r="H45" s="35"/>
      <c r="I45" s="224"/>
      <c r="P45" s="45"/>
    </row>
    <row r="46" spans="1:20">
      <c r="A46" s="67" t="s">
        <v>552</v>
      </c>
      <c r="B46" s="70" t="s">
        <v>552</v>
      </c>
      <c r="C46" s="68"/>
      <c r="D46" s="68" t="s">
        <v>552</v>
      </c>
      <c r="E46" s="69" t="s">
        <v>113</v>
      </c>
      <c r="F46" s="69" t="s">
        <v>113</v>
      </c>
      <c r="G46" s="67" t="s">
        <v>72</v>
      </c>
      <c r="H46" s="35"/>
      <c r="I46" s="224"/>
    </row>
    <row r="47" spans="1:20">
      <c r="A47" s="18" t="s">
        <v>5</v>
      </c>
      <c r="B47" s="19" t="s">
        <v>5</v>
      </c>
      <c r="C47" s="226" t="s">
        <v>533</v>
      </c>
      <c r="D47" s="20" t="s">
        <v>5</v>
      </c>
      <c r="E47" s="21" t="s">
        <v>5</v>
      </c>
      <c r="F47" s="21" t="s">
        <v>5</v>
      </c>
      <c r="G47" s="18" t="s">
        <v>5</v>
      </c>
      <c r="H47" s="35"/>
      <c r="I47" s="224"/>
    </row>
    <row r="48" spans="1:20">
      <c r="A48" s="17">
        <v>1.5</v>
      </c>
      <c r="B48" s="225">
        <f t="shared" ref="B48:B61" si="0">IF(($E$19)/($E$32*$A48*$E$28*(1-($E$30/100)))&lt;2*$E$15,"Ne pas utiliser",($E$19)/($E$32*$A48*$E$28*(1-($E$30/100))))</f>
        <v>25.990400458485574</v>
      </c>
      <c r="C48" s="227">
        <f>IF(B48="Ne pas utiliser","Ne pas utiliser",ROUND(((+$E$32)*($E$34/($E$36-$A48*3))+0.4),0))</f>
        <v>3</v>
      </c>
      <c r="D48" s="105">
        <f>IF(B48="Ne pas utiliser","Ne pas utiliser",((($E$19*$E$34/(1-($E$22+$E$25+$G$32)/100))/($E$28*(1-($E$30/100)))/($C48*($B48*$A48))+3*$A48)))</f>
        <v>47.52480111258248</v>
      </c>
      <c r="E48" s="22">
        <f>IF(B48="Ne pas utiliser","Ne pas utiliser",($E$19/(1-($E$22+$E$25+$G$32)/100)*($E$34/1000)*(1+0.0225*($B48/$I$53-1))))</f>
        <v>1208.6356750334269</v>
      </c>
      <c r="F48" s="22">
        <f>IF(B48="Ne pas utiliser","Ne pas utiliser",+$E48*($E$22+$E$25+$G$32+2.25*($B48/$I$53-1))/100)</f>
        <v>236.49772690450985</v>
      </c>
      <c r="G48" s="22">
        <f>IF(B48="Ne pas utiliser","Ne pas utiliser",($F48/$E48)*100)</f>
        <v>19.567329658539915</v>
      </c>
      <c r="H48" s="35"/>
      <c r="I48" s="224"/>
    </row>
    <row r="49" spans="1:9">
      <c r="A49" s="17">
        <v>2</v>
      </c>
      <c r="B49" s="225">
        <f t="shared" si="0"/>
        <v>19.492800343864179</v>
      </c>
      <c r="C49" s="227">
        <f t="shared" ref="C49:C61" si="1">IF(B49="Ne pas utiliser","Ne pas utiliser",ROUND(((+$E$32)*($E$34/($E$36-$A49*3))+0.4),0))</f>
        <v>3</v>
      </c>
      <c r="D49" s="105">
        <f t="shared" ref="D49:D61" si="2">IF(B49="Ne pas utiliser","Ne pas utiliser",((($E$19*$E$34/(1-($E$22+$E$25+$G$32)/100))/($E$28*(1-($E$30/100)))/($C49*($B49*$A49))+3*$A49)))</f>
        <v>49.024801112582487</v>
      </c>
      <c r="E49" s="22">
        <f t="shared" ref="E49:E61" si="3">IF(B49="Ne pas utiliser","Ne pas utiliser",($E$19/(1-($E$22+$E$25+$G$32)/100)*($E$34/1000)*(1+0.0225*($B49/$I$53-1))))</f>
        <v>1192.5677511281249</v>
      </c>
      <c r="F49" s="22">
        <f t="shared" ref="F49:F61" si="4">IF(B49="Ne pas utiliser","Ne pas utiliser",+$E49*($E$22+$E$25+$G$32+2.25*($B49/$I$53-1))/100)</f>
        <v>216.98567088044251</v>
      </c>
      <c r="G49" s="22">
        <f t="shared" ref="G49:G61" si="5">IF(B49="Ne pas utiliser","Ne pas utiliser",($F49/$E49)*100)</f>
        <v>18.194829658539913</v>
      </c>
      <c r="H49" s="35"/>
      <c r="I49" s="224"/>
    </row>
    <row r="50" spans="1:9">
      <c r="A50" s="17">
        <v>2.5</v>
      </c>
      <c r="B50" s="225">
        <f t="shared" si="0"/>
        <v>15.594240275091341</v>
      </c>
      <c r="C50" s="227">
        <f t="shared" si="1"/>
        <v>3</v>
      </c>
      <c r="D50" s="105">
        <f t="shared" si="2"/>
        <v>50.524801112582495</v>
      </c>
      <c r="E50" s="22">
        <f t="shared" si="3"/>
        <v>1182.9269967849436</v>
      </c>
      <c r="F50" s="22">
        <f t="shared" si="4"/>
        <v>205.49014823137841</v>
      </c>
      <c r="G50" s="22">
        <f t="shared" si="5"/>
        <v>17.371329658539914</v>
      </c>
      <c r="H50" s="35"/>
      <c r="I50" s="224"/>
    </row>
    <row r="51" spans="1:9">
      <c r="A51" s="24">
        <v>3</v>
      </c>
      <c r="B51" s="225">
        <f t="shared" si="0"/>
        <v>12.995200229242787</v>
      </c>
      <c r="C51" s="227">
        <f t="shared" si="1"/>
        <v>3</v>
      </c>
      <c r="D51" s="105">
        <f t="shared" si="2"/>
        <v>52.02480111258248</v>
      </c>
      <c r="E51" s="22">
        <f t="shared" si="3"/>
        <v>1176.4998272228229</v>
      </c>
      <c r="F51" s="22">
        <f t="shared" si="4"/>
        <v>197.91467936757579</v>
      </c>
      <c r="G51" s="22">
        <f t="shared" si="5"/>
        <v>16.822329658539914</v>
      </c>
      <c r="H51" s="99"/>
      <c r="I51" s="224"/>
    </row>
    <row r="52" spans="1:9">
      <c r="A52" s="17">
        <v>3.5</v>
      </c>
      <c r="B52" s="225">
        <f t="shared" si="0"/>
        <v>11.138743053636672</v>
      </c>
      <c r="C52" s="227">
        <f t="shared" si="1"/>
        <v>3</v>
      </c>
      <c r="D52" s="105">
        <f t="shared" si="2"/>
        <v>53.524801112582495</v>
      </c>
      <c r="E52" s="22">
        <f t="shared" si="3"/>
        <v>1171.9089918213078</v>
      </c>
      <c r="F52" s="22">
        <f t="shared" si="4"/>
        <v>192.54683649860982</v>
      </c>
      <c r="G52" s="22">
        <f t="shared" si="5"/>
        <v>16.430186801397056</v>
      </c>
      <c r="H52" s="35"/>
      <c r="I52" s="224"/>
    </row>
    <row r="53" spans="1:9">
      <c r="A53" s="25">
        <v>3.66</v>
      </c>
      <c r="B53" s="104">
        <f t="shared" si="0"/>
        <v>10.651803466592446</v>
      </c>
      <c r="C53" s="101">
        <f t="shared" si="1"/>
        <v>3</v>
      </c>
      <c r="D53" s="104">
        <f t="shared" si="2"/>
        <v>54.004801112582498</v>
      </c>
      <c r="E53" s="102">
        <f t="shared" si="3"/>
        <v>1170.7048382733697</v>
      </c>
      <c r="F53" s="102">
        <f t="shared" si="4"/>
        <v>191.1448382733696</v>
      </c>
      <c r="G53" s="102">
        <f t="shared" si="5"/>
        <v>16.327329658539913</v>
      </c>
      <c r="H53" s="88" t="s">
        <v>73</v>
      </c>
      <c r="I53" s="193">
        <f>($E$19)/($E$32*A53*$E$28*(1-($E$30/100)))</f>
        <v>10.651803466592446</v>
      </c>
    </row>
    <row r="54" spans="1:9">
      <c r="A54" s="17">
        <v>4</v>
      </c>
      <c r="B54" s="225">
        <f t="shared" si="0"/>
        <v>9.7464001719320894</v>
      </c>
      <c r="C54" s="227">
        <f t="shared" si="1"/>
        <v>4</v>
      </c>
      <c r="D54" s="105">
        <f t="shared" si="2"/>
        <v>44.268600834436867</v>
      </c>
      <c r="E54" s="22">
        <f t="shared" si="3"/>
        <v>1168.4658652701719</v>
      </c>
      <c r="F54" s="22">
        <f t="shared" si="4"/>
        <v>188.5445828028426</v>
      </c>
      <c r="G54" s="22">
        <f t="shared" si="5"/>
        <v>16.136079658539913</v>
      </c>
      <c r="H54" s="100"/>
      <c r="I54" s="224"/>
    </row>
    <row r="55" spans="1:9">
      <c r="A55" s="17">
        <v>4.5</v>
      </c>
      <c r="B55" s="225">
        <f t="shared" si="0"/>
        <v>8.6634668194951896</v>
      </c>
      <c r="C55" s="227">
        <f t="shared" si="1"/>
        <v>4</v>
      </c>
      <c r="D55" s="105">
        <f t="shared" si="2"/>
        <v>45.768600834436867</v>
      </c>
      <c r="E55" s="22">
        <f t="shared" si="3"/>
        <v>1165.7878779526216</v>
      </c>
      <c r="F55" s="22">
        <f t="shared" si="4"/>
        <v>185.44572086522047</v>
      </c>
      <c r="G55" s="22">
        <f t="shared" si="5"/>
        <v>15.907329658539915</v>
      </c>
      <c r="H55" s="100"/>
      <c r="I55" s="224"/>
    </row>
    <row r="56" spans="1:9">
      <c r="A56" s="17">
        <v>5</v>
      </c>
      <c r="B56" s="103">
        <f t="shared" si="0"/>
        <v>7.7971201375456705</v>
      </c>
      <c r="C56" s="227">
        <f t="shared" si="1"/>
        <v>4</v>
      </c>
      <c r="D56" s="105">
        <f t="shared" si="2"/>
        <v>47.268600834436867</v>
      </c>
      <c r="E56" s="22">
        <f t="shared" si="3"/>
        <v>1163.6454880985812</v>
      </c>
      <c r="F56" s="22">
        <f t="shared" si="4"/>
        <v>182.97545260534673</v>
      </c>
      <c r="G56" s="22">
        <f t="shared" si="5"/>
        <v>15.724329658539911</v>
      </c>
      <c r="H56" s="100"/>
      <c r="I56" s="224"/>
    </row>
    <row r="57" spans="1:9">
      <c r="A57" s="17">
        <v>5.5</v>
      </c>
      <c r="B57" s="103">
        <f t="shared" si="0"/>
        <v>7.0882910341324274</v>
      </c>
      <c r="C57" s="227">
        <f t="shared" si="1"/>
        <v>4</v>
      </c>
      <c r="D57" s="105">
        <f t="shared" si="2"/>
        <v>48.768600834436867</v>
      </c>
      <c r="E57" s="22">
        <f t="shared" si="3"/>
        <v>1161.8926236725483</v>
      </c>
      <c r="F57" s="22">
        <f t="shared" si="4"/>
        <v>180.96015628708582</v>
      </c>
      <c r="G57" s="22">
        <f t="shared" si="5"/>
        <v>15.574602385812641</v>
      </c>
      <c r="H57" s="100"/>
      <c r="I57" s="224"/>
    </row>
    <row r="58" spans="1:9">
      <c r="A58" s="17">
        <v>6</v>
      </c>
      <c r="B58" s="103">
        <f t="shared" si="0"/>
        <v>6.4976001146213935</v>
      </c>
      <c r="C58" s="227">
        <f t="shared" si="1"/>
        <v>4</v>
      </c>
      <c r="D58" s="105">
        <f t="shared" si="2"/>
        <v>50.26860083443686</v>
      </c>
      <c r="E58" s="22">
        <f t="shared" si="3"/>
        <v>1160.4319033175209</v>
      </c>
      <c r="F58" s="22">
        <f t="shared" si="4"/>
        <v>179.28475236590955</v>
      </c>
      <c r="G58" s="22">
        <f t="shared" si="5"/>
        <v>15.449829658539912</v>
      </c>
      <c r="H58" s="100"/>
      <c r="I58" s="224"/>
    </row>
    <row r="59" spans="1:9">
      <c r="A59" s="17">
        <v>6.5</v>
      </c>
      <c r="B59" s="103">
        <f t="shared" si="0"/>
        <v>5.9977847211889772</v>
      </c>
      <c r="C59" s="227">
        <f t="shared" si="1"/>
        <v>4</v>
      </c>
      <c r="D59" s="105">
        <f t="shared" si="2"/>
        <v>51.768600834436867</v>
      </c>
      <c r="E59" s="22">
        <f t="shared" si="3"/>
        <v>1159.1959091709591</v>
      </c>
      <c r="F59" s="22">
        <f t="shared" si="4"/>
        <v>177.86995000233998</v>
      </c>
      <c r="G59" s="22">
        <f t="shared" si="5"/>
        <v>15.344252735462991</v>
      </c>
      <c r="H59" s="35"/>
      <c r="I59" s="224"/>
    </row>
    <row r="60" spans="1:9">
      <c r="A60" s="17">
        <v>7</v>
      </c>
      <c r="B60" s="103">
        <f t="shared" si="0"/>
        <v>5.5693715268183359</v>
      </c>
      <c r="C60" s="227">
        <f t="shared" si="1"/>
        <v>5</v>
      </c>
      <c r="D60" s="105">
        <f t="shared" si="2"/>
        <v>46.814880667549495</v>
      </c>
      <c r="E60" s="22">
        <f t="shared" si="3"/>
        <v>1158.1364856167634</v>
      </c>
      <c r="F60" s="22">
        <f t="shared" si="4"/>
        <v>176.65933948903483</v>
      </c>
      <c r="G60" s="22">
        <f t="shared" si="5"/>
        <v>15.253758229968486</v>
      </c>
      <c r="H60" s="35"/>
      <c r="I60" s="224"/>
    </row>
    <row r="61" spans="1:9">
      <c r="A61" s="17">
        <v>7.5</v>
      </c>
      <c r="B61" s="103" t="str">
        <f t="shared" si="0"/>
        <v>Ne pas utiliser</v>
      </c>
      <c r="C61" s="227" t="str">
        <f t="shared" si="1"/>
        <v>Ne pas utiliser</v>
      </c>
      <c r="D61" s="105" t="str">
        <f t="shared" si="2"/>
        <v>Ne pas utiliser</v>
      </c>
      <c r="E61" s="22" t="str">
        <f t="shared" si="3"/>
        <v>Ne pas utiliser</v>
      </c>
      <c r="F61" s="22" t="str">
        <f t="shared" si="4"/>
        <v>Ne pas utiliser</v>
      </c>
      <c r="G61" s="22" t="str">
        <f t="shared" si="5"/>
        <v>Ne pas utiliser</v>
      </c>
      <c r="H61" s="35"/>
      <c r="I61" s="224"/>
    </row>
    <row r="62" spans="1:9">
      <c r="A62" s="18" t="s">
        <v>5</v>
      </c>
      <c r="B62" s="19" t="s">
        <v>5</v>
      </c>
      <c r="C62" s="223" t="s">
        <v>553</v>
      </c>
      <c r="D62" s="20" t="s">
        <v>5</v>
      </c>
      <c r="E62" s="21" t="s">
        <v>5</v>
      </c>
      <c r="F62" s="21" t="s">
        <v>5</v>
      </c>
      <c r="G62" s="18" t="s">
        <v>5</v>
      </c>
      <c r="H62" s="35"/>
      <c r="I62" s="224"/>
    </row>
    <row r="63" spans="1:9">
      <c r="A63" s="5" t="s">
        <v>554</v>
      </c>
      <c r="B63" s="1"/>
      <c r="C63" s="209"/>
      <c r="D63" s="2"/>
      <c r="E63" s="3"/>
      <c r="F63" s="3"/>
    </row>
    <row r="64" spans="1:9">
      <c r="A64" s="5" t="s">
        <v>555</v>
      </c>
      <c r="B64" s="1"/>
      <c r="C64" s="209"/>
      <c r="D64" s="2"/>
      <c r="E64" s="3"/>
      <c r="F64" s="3"/>
    </row>
  </sheetData>
  <sheetProtection sheet="1" objects="1" scenarios="1"/>
  <dataValidations count="1">
    <dataValidation type="list" allowBlank="1" showInputMessage="1" showErrorMessage="1" sqref="E17" xr:uid="{00000000-0002-0000-0200-000000000000}">
      <formula1>"Ensilage 1, Ensilage 2, Ensilage 3, Ensilage de maïs, Mon ensilage"</formula1>
    </dataValidation>
  </dataValidations>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64"/>
  <sheetViews>
    <sheetView zoomScale="80" zoomScaleNormal="80" zoomScaleSheetLayoutView="75" zoomScalePageLayoutView="80" workbookViewId="0"/>
  </sheetViews>
  <sheetFormatPr defaultColWidth="8.85546875" defaultRowHeight="12.75"/>
  <cols>
    <col min="1" max="1" width="19.42578125" customWidth="1"/>
    <col min="2" max="2" width="22.42578125" customWidth="1"/>
    <col min="3" max="3" width="26" customWidth="1"/>
    <col min="4" max="4" width="21.7109375" customWidth="1"/>
    <col min="5" max="5" width="22" customWidth="1"/>
    <col min="6" max="6" width="14.42578125" customWidth="1"/>
    <col min="7" max="7" width="21.140625" customWidth="1"/>
    <col min="8" max="8" width="5.85546875" customWidth="1"/>
    <col min="9" max="9" width="19.42578125" customWidth="1"/>
    <col min="11" max="11" width="9.85546875" customWidth="1"/>
    <col min="12" max="12" width="11.28515625" customWidth="1"/>
    <col min="13" max="13" width="11" customWidth="1"/>
    <col min="14" max="14" width="11.85546875" customWidth="1"/>
    <col min="15" max="15" width="9.42578125" customWidth="1"/>
    <col min="16" max="16" width="5.140625" customWidth="1"/>
    <col min="17" max="17" width="11.85546875" customWidth="1"/>
    <col min="18" max="18" width="12.42578125" customWidth="1"/>
    <col min="19" max="19" width="12.140625" customWidth="1"/>
    <col min="20" max="20" width="11.7109375" customWidth="1"/>
  </cols>
  <sheetData>
    <row r="1" spans="1:25">
      <c r="A1" s="45" t="s">
        <v>95</v>
      </c>
      <c r="B1" s="1"/>
      <c r="C1" s="2"/>
      <c r="D1" s="2"/>
      <c r="E1" s="3"/>
      <c r="F1" s="3"/>
    </row>
    <row r="2" spans="1:25">
      <c r="B2" s="73" t="s">
        <v>233</v>
      </c>
      <c r="C2" s="2"/>
      <c r="D2" s="2"/>
      <c r="E2" s="3"/>
      <c r="F2" s="3"/>
    </row>
    <row r="3" spans="1:25">
      <c r="A3" t="s">
        <v>1</v>
      </c>
      <c r="B3" s="1"/>
      <c r="C3" s="2"/>
      <c r="D3" s="2"/>
      <c r="E3" s="3"/>
      <c r="F3" s="3"/>
    </row>
    <row r="4" spans="1:25">
      <c r="A4" t="s">
        <v>144</v>
      </c>
      <c r="B4" s="1"/>
      <c r="C4" s="2"/>
      <c r="D4" s="2"/>
      <c r="E4" s="3"/>
      <c r="F4" s="3"/>
    </row>
    <row r="5" spans="1:25">
      <c r="A5" t="s">
        <v>259</v>
      </c>
      <c r="B5" s="1"/>
      <c r="C5" s="2"/>
      <c r="D5" s="2"/>
      <c r="E5" s="3"/>
      <c r="F5" s="3"/>
    </row>
    <row r="6" spans="1:25">
      <c r="A6" t="s">
        <v>143</v>
      </c>
      <c r="B6" s="1"/>
      <c r="C6" s="2"/>
      <c r="D6" s="2"/>
      <c r="E6" s="3"/>
      <c r="F6" s="3"/>
      <c r="H6" s="35"/>
      <c r="I6" s="36" t="s">
        <v>431</v>
      </c>
      <c r="J6" s="37"/>
      <c r="K6" s="37"/>
      <c r="L6" s="37"/>
      <c r="M6" s="37"/>
      <c r="N6" s="37"/>
      <c r="O6" s="37"/>
      <c r="P6" s="37"/>
      <c r="Q6" s="37"/>
      <c r="R6" s="37"/>
      <c r="S6" s="37"/>
      <c r="T6" s="37"/>
      <c r="U6" s="37"/>
      <c r="V6" s="37"/>
      <c r="W6" s="37"/>
      <c r="X6" s="37"/>
      <c r="Y6" s="35"/>
    </row>
    <row r="7" spans="1:25">
      <c r="A7" t="s">
        <v>145</v>
      </c>
      <c r="B7" s="1"/>
      <c r="C7" s="2"/>
      <c r="D7" s="2"/>
      <c r="E7" s="3"/>
      <c r="F7" s="3"/>
      <c r="H7" s="35"/>
      <c r="I7" s="38" t="s">
        <v>5</v>
      </c>
      <c r="J7" s="38" t="s">
        <v>5</v>
      </c>
      <c r="K7" s="38" t="s">
        <v>5</v>
      </c>
      <c r="L7" s="38" t="s">
        <v>5</v>
      </c>
      <c r="M7" s="38" t="s">
        <v>5</v>
      </c>
      <c r="N7" s="38" t="s">
        <v>5</v>
      </c>
      <c r="O7" s="38" t="s">
        <v>5</v>
      </c>
      <c r="P7" s="38" t="s">
        <v>5</v>
      </c>
      <c r="Q7" s="38" t="s">
        <v>5</v>
      </c>
      <c r="R7" s="38" t="s">
        <v>5</v>
      </c>
      <c r="S7" s="38" t="s">
        <v>5</v>
      </c>
      <c r="T7" s="38" t="s">
        <v>5</v>
      </c>
      <c r="U7" s="37"/>
      <c r="V7" s="37"/>
      <c r="W7" s="37"/>
      <c r="X7" s="37"/>
      <c r="Y7" s="35"/>
    </row>
    <row r="8" spans="1:25">
      <c r="A8" t="s">
        <v>75</v>
      </c>
      <c r="B8" s="1"/>
      <c r="C8" s="2"/>
      <c r="D8" s="2"/>
      <c r="E8" s="3"/>
      <c r="F8" s="3"/>
      <c r="H8" s="35"/>
      <c r="I8" s="37"/>
      <c r="J8" s="37"/>
      <c r="K8" s="37"/>
      <c r="L8" s="37" t="s">
        <v>130</v>
      </c>
      <c r="M8" s="37" t="s">
        <v>130</v>
      </c>
      <c r="N8" s="37" t="s">
        <v>130</v>
      </c>
      <c r="O8" s="37" t="s">
        <v>130</v>
      </c>
      <c r="P8" s="37"/>
      <c r="Q8" s="80" t="s">
        <v>130</v>
      </c>
      <c r="R8" s="80" t="s">
        <v>130</v>
      </c>
      <c r="S8" s="80" t="s">
        <v>130</v>
      </c>
      <c r="T8" s="80" t="s">
        <v>130</v>
      </c>
      <c r="U8" s="80"/>
      <c r="V8" s="80"/>
      <c r="W8" s="37"/>
      <c r="X8" s="37"/>
      <c r="Y8" s="35"/>
    </row>
    <row r="9" spans="1:25">
      <c r="B9" s="1"/>
      <c r="C9" s="2"/>
      <c r="E9" s="44"/>
      <c r="F9" s="44"/>
      <c r="G9" s="35"/>
      <c r="H9" s="35"/>
      <c r="I9" s="37"/>
      <c r="J9" s="37" t="s">
        <v>250</v>
      </c>
      <c r="K9" s="37"/>
      <c r="L9" s="37" t="s">
        <v>136</v>
      </c>
      <c r="M9" s="37" t="s">
        <v>137</v>
      </c>
      <c r="N9" s="37" t="s">
        <v>138</v>
      </c>
      <c r="O9" s="37" t="s">
        <v>131</v>
      </c>
      <c r="P9" s="37"/>
      <c r="Q9" s="37" t="s">
        <v>136</v>
      </c>
      <c r="R9" s="37" t="s">
        <v>137</v>
      </c>
      <c r="S9" s="37" t="s">
        <v>138</v>
      </c>
      <c r="T9" s="37" t="s">
        <v>131</v>
      </c>
      <c r="U9" s="37"/>
      <c r="V9" s="37"/>
      <c r="W9" s="37"/>
      <c r="X9" s="37"/>
      <c r="Y9" s="35"/>
    </row>
    <row r="10" spans="1:25">
      <c r="B10" s="1"/>
      <c r="C10" s="2"/>
      <c r="D10" s="2"/>
      <c r="E10" s="3"/>
      <c r="F10" s="3"/>
      <c r="H10" s="35"/>
      <c r="I10" s="37"/>
      <c r="J10" s="37" t="s">
        <v>129</v>
      </c>
      <c r="K10" s="37"/>
      <c r="L10" s="37"/>
      <c r="M10" s="37"/>
      <c r="N10" s="37"/>
      <c r="O10" s="37"/>
      <c r="P10" s="37"/>
      <c r="Q10" s="37"/>
      <c r="R10" s="37"/>
      <c r="S10" s="37"/>
      <c r="T10" s="37"/>
      <c r="U10" s="37"/>
      <c r="V10" s="37"/>
      <c r="W10" s="37"/>
      <c r="X10" s="37"/>
      <c r="Y10" s="35"/>
    </row>
    <row r="11" spans="1:25">
      <c r="B11" s="1"/>
      <c r="C11" s="2"/>
      <c r="D11" s="2"/>
      <c r="E11" s="3"/>
      <c r="F11" s="3"/>
      <c r="H11" s="35"/>
      <c r="I11" s="37" t="s">
        <v>116</v>
      </c>
      <c r="J11" s="37" t="s">
        <v>116</v>
      </c>
      <c r="K11" s="37" t="s">
        <v>16</v>
      </c>
      <c r="L11" s="39" t="s">
        <v>142</v>
      </c>
      <c r="M11" s="37"/>
      <c r="N11" s="37"/>
      <c r="O11" s="37"/>
      <c r="P11" s="37"/>
      <c r="Q11" s="39" t="s">
        <v>141</v>
      </c>
      <c r="R11" s="37"/>
      <c r="S11" s="37"/>
      <c r="T11" s="37"/>
      <c r="U11" s="37"/>
      <c r="V11" s="37"/>
      <c r="W11" s="37"/>
      <c r="X11" s="37"/>
      <c r="Y11" s="35"/>
    </row>
    <row r="12" spans="1:25">
      <c r="B12" s="1"/>
      <c r="C12" s="8" t="s">
        <v>237</v>
      </c>
      <c r="D12" s="8"/>
      <c r="E12" s="9"/>
      <c r="F12" s="9"/>
      <c r="G12" s="74"/>
      <c r="H12" s="78"/>
      <c r="I12" s="38" t="s">
        <v>5</v>
      </c>
      <c r="J12" s="38" t="s">
        <v>5</v>
      </c>
      <c r="K12" s="38" t="s">
        <v>5</v>
      </c>
      <c r="L12" s="38" t="s">
        <v>5</v>
      </c>
      <c r="M12" s="38" t="s">
        <v>5</v>
      </c>
      <c r="N12" s="38" t="s">
        <v>5</v>
      </c>
      <c r="O12" s="38" t="s">
        <v>5</v>
      </c>
      <c r="P12" s="38" t="s">
        <v>5</v>
      </c>
      <c r="Q12" s="38" t="s">
        <v>5</v>
      </c>
      <c r="R12" s="38" t="s">
        <v>5</v>
      </c>
      <c r="S12" s="38" t="s">
        <v>5</v>
      </c>
      <c r="T12" s="38" t="s">
        <v>5</v>
      </c>
      <c r="U12" s="37"/>
      <c r="V12" s="37"/>
      <c r="W12" s="37"/>
      <c r="X12" s="37"/>
      <c r="Y12" s="35"/>
    </row>
    <row r="13" spans="1:25">
      <c r="A13" s="26" t="s">
        <v>96</v>
      </c>
      <c r="B13" s="27"/>
      <c r="C13" s="8"/>
      <c r="D13" s="8"/>
      <c r="E13" s="9"/>
      <c r="F13" s="9"/>
      <c r="G13" s="74"/>
      <c r="H13" s="78"/>
      <c r="I13" s="37" t="s">
        <v>117</v>
      </c>
      <c r="J13" s="37"/>
      <c r="K13" s="37">
        <f>SUM(J14:J17)</f>
        <v>68</v>
      </c>
      <c r="L13" s="37"/>
      <c r="M13" s="37"/>
      <c r="N13" s="37"/>
      <c r="O13" s="37"/>
      <c r="P13" s="37"/>
      <c r="Q13" s="37"/>
      <c r="R13" s="37"/>
      <c r="S13" s="37"/>
      <c r="T13" s="37"/>
      <c r="U13" s="37"/>
      <c r="V13" s="37"/>
      <c r="W13" s="37"/>
      <c r="X13" s="37"/>
      <c r="Y13" s="35"/>
    </row>
    <row r="14" spans="1:25">
      <c r="A14" s="33" t="s">
        <v>92</v>
      </c>
      <c r="B14" s="33" t="s">
        <v>92</v>
      </c>
      <c r="C14" s="33" t="s">
        <v>92</v>
      </c>
      <c r="D14" s="33" t="s">
        <v>92</v>
      </c>
      <c r="E14" s="33" t="s">
        <v>92</v>
      </c>
      <c r="F14" s="33" t="s">
        <v>92</v>
      </c>
      <c r="G14" s="74"/>
      <c r="H14" s="78"/>
      <c r="I14" s="40" t="s">
        <v>258</v>
      </c>
      <c r="J14" s="11">
        <v>8</v>
      </c>
      <c r="K14" s="42"/>
      <c r="L14" s="11">
        <v>0</v>
      </c>
      <c r="M14" s="11">
        <v>0</v>
      </c>
      <c r="N14" s="11">
        <v>9.1</v>
      </c>
      <c r="O14" s="11">
        <v>0</v>
      </c>
      <c r="P14" s="37"/>
      <c r="Q14" s="163">
        <f>L14*$J$14</f>
        <v>0</v>
      </c>
      <c r="R14" s="163">
        <f>M14*$J$14</f>
        <v>0</v>
      </c>
      <c r="S14" s="163">
        <f>N14*$J$14</f>
        <v>72.8</v>
      </c>
      <c r="T14" s="163">
        <f>O14*$J$14</f>
        <v>0</v>
      </c>
      <c r="U14" s="37"/>
      <c r="V14" s="37"/>
      <c r="W14" s="37"/>
      <c r="X14" s="37"/>
      <c r="Y14" s="35"/>
    </row>
    <row r="15" spans="1:25">
      <c r="A15" s="10" t="s">
        <v>238</v>
      </c>
      <c r="B15" s="27"/>
      <c r="C15" s="8"/>
      <c r="D15" s="8"/>
      <c r="E15" s="12">
        <v>2.7</v>
      </c>
      <c r="F15" s="9"/>
      <c r="G15" s="78"/>
      <c r="H15" s="78"/>
      <c r="I15" s="40" t="s">
        <v>127</v>
      </c>
      <c r="J15" s="11">
        <v>22</v>
      </c>
      <c r="K15" s="42"/>
      <c r="L15" s="11">
        <v>0</v>
      </c>
      <c r="M15" s="11">
        <v>4.5</v>
      </c>
      <c r="N15" s="11">
        <v>6.8</v>
      </c>
      <c r="O15" s="11">
        <v>0</v>
      </c>
      <c r="P15" s="37"/>
      <c r="Q15" s="163">
        <f>L15*$J$15</f>
        <v>0</v>
      </c>
      <c r="R15" s="163">
        <f>M15*$J$15</f>
        <v>99</v>
      </c>
      <c r="S15" s="163">
        <f>N15*$J$15</f>
        <v>149.6</v>
      </c>
      <c r="T15" s="163">
        <f>O15*$J$15</f>
        <v>0</v>
      </c>
      <c r="U15" s="37"/>
      <c r="V15" s="37"/>
      <c r="W15" s="37"/>
      <c r="X15" s="37"/>
      <c r="Y15" s="35"/>
    </row>
    <row r="16" spans="1:25">
      <c r="A16" s="33"/>
      <c r="B16" s="29"/>
      <c r="C16" s="30"/>
      <c r="D16" s="30"/>
      <c r="E16" s="31"/>
      <c r="F16" s="31"/>
      <c r="G16" s="79"/>
      <c r="H16" s="78"/>
      <c r="I16" s="40" t="s">
        <v>128</v>
      </c>
      <c r="J16" s="11">
        <v>22</v>
      </c>
      <c r="K16" s="42"/>
      <c r="L16" s="11">
        <v>0</v>
      </c>
      <c r="M16" s="11">
        <v>4.4000000000000004</v>
      </c>
      <c r="N16" s="11">
        <v>6.8</v>
      </c>
      <c r="O16" s="11">
        <v>0</v>
      </c>
      <c r="P16" s="37"/>
      <c r="Q16" s="163">
        <f>L16*$J$16</f>
        <v>0</v>
      </c>
      <c r="R16" s="163">
        <f>M16*$J$16</f>
        <v>96.800000000000011</v>
      </c>
      <c r="S16" s="163">
        <f>N16*$J$16</f>
        <v>149.6</v>
      </c>
      <c r="T16" s="163">
        <f>O16*$J$16</f>
        <v>0</v>
      </c>
      <c r="U16" s="37"/>
      <c r="V16" s="37"/>
      <c r="W16" s="37"/>
      <c r="X16" s="37"/>
      <c r="Y16" s="35"/>
    </row>
    <row r="17" spans="1:25">
      <c r="A17" s="46" t="s">
        <v>139</v>
      </c>
      <c r="B17" s="27"/>
      <c r="C17" s="8"/>
      <c r="D17" s="8"/>
      <c r="E17" s="207" t="s">
        <v>234</v>
      </c>
      <c r="F17" s="82" t="s">
        <v>236</v>
      </c>
      <c r="G17" s="74"/>
      <c r="H17" s="74"/>
      <c r="I17" s="40" t="s">
        <v>251</v>
      </c>
      <c r="J17" s="11">
        <v>16</v>
      </c>
      <c r="K17" s="42"/>
      <c r="L17" s="11">
        <v>0</v>
      </c>
      <c r="M17" s="11">
        <v>9.1</v>
      </c>
      <c r="N17" s="11">
        <v>0</v>
      </c>
      <c r="O17" s="11">
        <v>1.4</v>
      </c>
      <c r="P17" s="37"/>
      <c r="Q17" s="163">
        <f>L17*$J$17</f>
        <v>0</v>
      </c>
      <c r="R17" s="163">
        <f>M17*$J$17</f>
        <v>145.6</v>
      </c>
      <c r="S17" s="163">
        <f>N17*$J$17</f>
        <v>0</v>
      </c>
      <c r="T17" s="163">
        <f>O17*$J$17</f>
        <v>22.4</v>
      </c>
      <c r="U17" s="37"/>
      <c r="V17" s="37"/>
      <c r="W17" s="37"/>
      <c r="X17" s="37"/>
      <c r="Y17" s="35"/>
    </row>
    <row r="18" spans="1:25">
      <c r="A18" s="10"/>
      <c r="B18" s="27"/>
      <c r="C18" s="8"/>
      <c r="D18" s="8"/>
      <c r="E18" s="76"/>
      <c r="F18" s="82" t="s">
        <v>235</v>
      </c>
      <c r="G18" s="74"/>
      <c r="H18" s="74"/>
      <c r="I18" s="37"/>
      <c r="J18" s="43"/>
      <c r="K18" s="42"/>
      <c r="L18" s="43"/>
      <c r="M18" s="43"/>
      <c r="N18" s="43"/>
      <c r="O18" s="43"/>
      <c r="P18" s="37"/>
      <c r="Q18" s="163"/>
      <c r="R18" s="163"/>
      <c r="S18" s="163"/>
      <c r="T18" s="163"/>
      <c r="U18" s="37"/>
      <c r="V18" s="37"/>
      <c r="W18" s="37"/>
      <c r="X18" s="37"/>
      <c r="Y18" s="35"/>
    </row>
    <row r="19" spans="1:25">
      <c r="A19" s="10" t="s">
        <v>239</v>
      </c>
      <c r="B19" s="27"/>
      <c r="C19" s="8"/>
      <c r="D19" s="8"/>
      <c r="E19" s="161">
        <f>IF(E17="Silagem Milho",T44,IF(E17="Silagem Forragem1",Q44, IF(E17="Silagem Forragem2",R44,IF(E17="Silagem Forragem3", S44,IF(E17="Minha Silagem",F21)))))</f>
        <v>2721</v>
      </c>
      <c r="F19" s="83" t="str">
        <f>IF(E17="Minha Silagem", " ", "Do Cálculo de Matéria Seca da Silagem")</f>
        <v xml:space="preserve"> </v>
      </c>
      <c r="G19" s="75"/>
      <c r="H19" s="78"/>
      <c r="I19" s="37" t="s">
        <v>118</v>
      </c>
      <c r="J19" s="11">
        <v>20</v>
      </c>
      <c r="K19" s="202">
        <f>J19</f>
        <v>20</v>
      </c>
      <c r="L19" s="11">
        <v>6.8</v>
      </c>
      <c r="M19" s="11">
        <v>4.5</v>
      </c>
      <c r="N19" s="11">
        <v>0</v>
      </c>
      <c r="O19" s="11">
        <v>1.4</v>
      </c>
      <c r="P19" s="37"/>
      <c r="Q19" s="163">
        <f>L19*$J$19</f>
        <v>136</v>
      </c>
      <c r="R19" s="163">
        <f>M19*$J$19</f>
        <v>90</v>
      </c>
      <c r="S19" s="163">
        <f>N19*$J$19</f>
        <v>0</v>
      </c>
      <c r="T19" s="163">
        <f>O19*$J$19</f>
        <v>28</v>
      </c>
      <c r="U19" s="37"/>
      <c r="V19" s="37"/>
      <c r="W19" s="37"/>
      <c r="X19" s="37"/>
      <c r="Y19" s="35"/>
    </row>
    <row r="20" spans="1:25">
      <c r="A20" s="10" t="s">
        <v>132</v>
      </c>
      <c r="B20" s="27"/>
      <c r="C20" s="8"/>
      <c r="D20" s="8"/>
      <c r="E20" s="76"/>
      <c r="F20" s="83" t="str">
        <f>IF(E17="Minha Silagem", " ", "Tabela, Linha 44")</f>
        <v xml:space="preserve"> </v>
      </c>
      <c r="G20" s="75"/>
      <c r="H20" s="78"/>
      <c r="I20" s="37"/>
      <c r="J20" s="43"/>
      <c r="K20" s="202"/>
      <c r="L20" s="43"/>
      <c r="M20" s="43"/>
      <c r="N20" s="43"/>
      <c r="O20" s="43"/>
      <c r="P20" s="37"/>
      <c r="Q20" s="163"/>
      <c r="R20" s="163"/>
      <c r="S20" s="163"/>
      <c r="T20" s="163"/>
      <c r="U20" s="37"/>
      <c r="V20" s="37"/>
      <c r="W20" s="37"/>
      <c r="X20" s="37"/>
      <c r="Y20" s="35"/>
    </row>
    <row r="21" spans="1:25">
      <c r="A21" s="85" t="str">
        <f>IF(E17="Minha Silagem", "Minha Silagem, se não da Tabela de Cálculo de Matéria Seca da Silagem (Linha 44)  (Kg MS/Rebanho-Dia)=", "  ")</f>
        <v>Minha Silagem, se não da Tabela de Cálculo de Matéria Seca da Silagem (Linha 44)  (Kg MS/Rebanho-Dia)=</v>
      </c>
      <c r="B21" s="27"/>
      <c r="C21" s="8"/>
      <c r="D21" s="8"/>
      <c r="E21" s="76"/>
      <c r="F21" s="77">
        <v>2721</v>
      </c>
      <c r="G21" s="84" t="str">
        <f>IF(E17="Minha Silagem","Minha Silagem","   ")</f>
        <v>Minha Silagem</v>
      </c>
      <c r="H21" s="74"/>
      <c r="I21" s="37" t="s">
        <v>252</v>
      </c>
      <c r="J21" s="11">
        <v>6</v>
      </c>
      <c r="K21" s="202">
        <f>J21</f>
        <v>6</v>
      </c>
      <c r="L21" s="11">
        <v>4.5</v>
      </c>
      <c r="M21" s="11">
        <v>2.2999999999999998</v>
      </c>
      <c r="N21" s="11">
        <v>0</v>
      </c>
      <c r="O21" s="11">
        <v>4.5</v>
      </c>
      <c r="P21" s="37"/>
      <c r="Q21" s="163">
        <f>L21*$J21</f>
        <v>27</v>
      </c>
      <c r="R21" s="163">
        <f>M21*$J21</f>
        <v>13.799999999999999</v>
      </c>
      <c r="S21" s="163">
        <f>N21*$J21</f>
        <v>0</v>
      </c>
      <c r="T21" s="163">
        <f>O21*$J21</f>
        <v>27</v>
      </c>
      <c r="U21" s="37"/>
      <c r="V21" s="37"/>
      <c r="W21" s="37"/>
      <c r="X21" s="37"/>
      <c r="Y21" s="35"/>
    </row>
    <row r="22" spans="1:25">
      <c r="A22" s="10" t="s">
        <v>97</v>
      </c>
      <c r="B22" s="27"/>
      <c r="C22" s="8"/>
      <c r="D22" s="8"/>
      <c r="E22" s="12">
        <v>10</v>
      </c>
      <c r="F22" s="9"/>
      <c r="G22" s="78"/>
      <c r="H22" s="78"/>
      <c r="I22" s="37"/>
      <c r="J22" s="43"/>
      <c r="K22" s="202"/>
      <c r="L22" s="43"/>
      <c r="M22" s="43"/>
      <c r="N22" s="43"/>
      <c r="O22" s="43"/>
      <c r="P22" s="37"/>
      <c r="Q22" s="163"/>
      <c r="R22" s="163"/>
      <c r="S22" s="163"/>
      <c r="T22" s="163"/>
      <c r="U22" s="37"/>
      <c r="V22" s="37"/>
      <c r="W22" s="37"/>
      <c r="X22" s="37"/>
      <c r="Y22" s="35"/>
    </row>
    <row r="23" spans="1:25">
      <c r="A23" s="10" t="s">
        <v>240</v>
      </c>
      <c r="B23" s="27"/>
      <c r="C23" s="8"/>
      <c r="D23" s="8"/>
      <c r="E23" s="32"/>
      <c r="F23" s="9"/>
      <c r="G23" s="78"/>
      <c r="H23" s="78"/>
      <c r="I23" s="37" t="s">
        <v>119</v>
      </c>
      <c r="J23" s="11">
        <v>110</v>
      </c>
      <c r="K23" s="202">
        <f>J23</f>
        <v>110</v>
      </c>
      <c r="L23" s="11">
        <v>4.5</v>
      </c>
      <c r="M23" s="11">
        <v>0</v>
      </c>
      <c r="N23" s="11">
        <v>0</v>
      </c>
      <c r="O23" s="11">
        <v>6.8</v>
      </c>
      <c r="P23" s="37"/>
      <c r="Q23" s="163">
        <f>L23*$J$23</f>
        <v>495</v>
      </c>
      <c r="R23" s="163">
        <f>M23*$J$23</f>
        <v>0</v>
      </c>
      <c r="S23" s="163">
        <f>N23*$J$23</f>
        <v>0</v>
      </c>
      <c r="T23" s="163">
        <f>O23*$J$23</f>
        <v>748</v>
      </c>
      <c r="U23" s="37"/>
      <c r="V23" s="37"/>
      <c r="W23" s="37"/>
      <c r="X23" s="37"/>
      <c r="Y23" s="35"/>
    </row>
    <row r="24" spans="1:25">
      <c r="A24" s="10"/>
      <c r="B24" s="27"/>
      <c r="C24" s="8"/>
      <c r="D24" s="8"/>
      <c r="E24" s="32"/>
      <c r="F24" s="9"/>
      <c r="G24" s="185" t="s">
        <v>334</v>
      </c>
      <c r="H24" s="195">
        <f>E32*39.37</f>
        <v>11.810999999999998</v>
      </c>
      <c r="I24" s="37"/>
      <c r="J24" s="200"/>
      <c r="K24" s="202"/>
      <c r="L24" s="200"/>
      <c r="M24" s="200"/>
      <c r="N24" s="200"/>
      <c r="O24" s="200"/>
      <c r="P24" s="37"/>
      <c r="Q24" s="163"/>
      <c r="R24" s="163"/>
      <c r="S24" s="163"/>
      <c r="T24" s="163"/>
      <c r="U24" s="37"/>
      <c r="V24" s="37"/>
      <c r="W24" s="37"/>
      <c r="X24" s="37"/>
      <c r="Y24" s="35"/>
    </row>
    <row r="25" spans="1:25">
      <c r="A25" s="10" t="s">
        <v>98</v>
      </c>
      <c r="B25" s="27"/>
      <c r="C25" s="8"/>
      <c r="D25" s="8"/>
      <c r="E25" s="12">
        <v>5</v>
      </c>
      <c r="F25" s="9"/>
      <c r="G25" s="185" t="s">
        <v>335</v>
      </c>
      <c r="H25" s="195">
        <f>E28*0.062</f>
        <v>43.71</v>
      </c>
      <c r="I25" s="37" t="s">
        <v>253</v>
      </c>
      <c r="J25" s="200"/>
      <c r="K25" s="202">
        <f>SUM(J26:J28)</f>
        <v>226</v>
      </c>
      <c r="L25" s="200"/>
      <c r="M25" s="200"/>
      <c r="N25" s="200"/>
      <c r="O25" s="200"/>
      <c r="P25" s="37"/>
      <c r="Q25" s="163"/>
      <c r="R25" s="163"/>
      <c r="S25" s="163"/>
      <c r="T25" s="163"/>
      <c r="U25" s="37"/>
      <c r="V25" s="37"/>
      <c r="W25" s="37"/>
      <c r="X25" s="37"/>
      <c r="Y25" s="35"/>
    </row>
    <row r="26" spans="1:25">
      <c r="A26" s="10" t="s">
        <v>432</v>
      </c>
      <c r="B26" s="27"/>
      <c r="C26" s="8"/>
      <c r="D26" s="8"/>
      <c r="E26" s="32"/>
      <c r="F26" s="9"/>
      <c r="G26" s="185" t="s">
        <v>336</v>
      </c>
      <c r="H26" s="195">
        <f>100-E30</f>
        <v>33</v>
      </c>
      <c r="I26" s="40" t="s">
        <v>254</v>
      </c>
      <c r="J26" s="11">
        <v>90</v>
      </c>
      <c r="K26" s="42"/>
      <c r="L26" s="11">
        <v>4.5</v>
      </c>
      <c r="M26" s="11">
        <v>0</v>
      </c>
      <c r="N26" s="11">
        <v>0</v>
      </c>
      <c r="O26" s="11">
        <v>6.8</v>
      </c>
      <c r="P26" s="37"/>
      <c r="Q26" s="163">
        <f>L26*$J$26</f>
        <v>405</v>
      </c>
      <c r="R26" s="163">
        <f>M26*$J$26</f>
        <v>0</v>
      </c>
      <c r="S26" s="163">
        <f>N26*$J$26</f>
        <v>0</v>
      </c>
      <c r="T26" s="163">
        <f>O26*$J$26</f>
        <v>612</v>
      </c>
      <c r="U26" s="37"/>
      <c r="V26" s="37"/>
      <c r="W26" s="37"/>
      <c r="X26" s="37"/>
      <c r="Y26" s="35"/>
    </row>
    <row r="27" spans="1:25">
      <c r="A27" s="10"/>
      <c r="B27" s="27"/>
      <c r="C27" s="8"/>
      <c r="D27" s="8"/>
      <c r="E27" s="32"/>
      <c r="F27" s="9"/>
      <c r="G27" s="185" t="s">
        <v>337</v>
      </c>
      <c r="H27" s="195">
        <f>H25*H26/100</f>
        <v>14.424300000000001</v>
      </c>
      <c r="I27" s="40" t="s">
        <v>255</v>
      </c>
      <c r="J27" s="11">
        <v>68</v>
      </c>
      <c r="K27" s="42"/>
      <c r="L27" s="11">
        <v>6.8</v>
      </c>
      <c r="M27" s="11">
        <v>2.2999999999999998</v>
      </c>
      <c r="N27" s="11">
        <v>0</v>
      </c>
      <c r="O27" s="11">
        <v>4.5</v>
      </c>
      <c r="P27" s="37"/>
      <c r="Q27" s="163">
        <f>L27*$J$27</f>
        <v>462.4</v>
      </c>
      <c r="R27" s="163">
        <f>M27*$J$27</f>
        <v>156.39999999999998</v>
      </c>
      <c r="S27" s="163">
        <f>N27*$J$27</f>
        <v>0</v>
      </c>
      <c r="T27" s="163">
        <f>O27*$J$27</f>
        <v>306</v>
      </c>
      <c r="U27" s="37"/>
      <c r="V27" s="37"/>
      <c r="W27" s="37"/>
      <c r="X27" s="37"/>
      <c r="Y27" s="35"/>
    </row>
    <row r="28" spans="1:25">
      <c r="A28" s="10" t="s">
        <v>241</v>
      </c>
      <c r="B28" s="27"/>
      <c r="C28" s="8"/>
      <c r="D28" s="8"/>
      <c r="E28" s="12">
        <v>705</v>
      </c>
      <c r="F28" s="9"/>
      <c r="G28" s="185" t="s">
        <v>338</v>
      </c>
      <c r="H28" s="191">
        <f>100*(1-(H27/(62.4*1.5)+(H25-H27)/62.4))</f>
        <v>37.657211538461532</v>
      </c>
      <c r="I28" s="40" t="s">
        <v>256</v>
      </c>
      <c r="J28" s="11">
        <v>68</v>
      </c>
      <c r="K28" s="42"/>
      <c r="L28" s="11">
        <v>4.5</v>
      </c>
      <c r="M28" s="11">
        <v>4.5</v>
      </c>
      <c r="N28" s="11">
        <v>0</v>
      </c>
      <c r="O28" s="11">
        <v>4.5</v>
      </c>
      <c r="P28" s="37"/>
      <c r="Q28" s="163">
        <f>L28*$J$28</f>
        <v>306</v>
      </c>
      <c r="R28" s="163">
        <f>M28*$J$28</f>
        <v>306</v>
      </c>
      <c r="S28" s="163">
        <f>N28*$J$28</f>
        <v>0</v>
      </c>
      <c r="T28" s="163">
        <f>O28*$J$28</f>
        <v>306</v>
      </c>
      <c r="U28" s="37"/>
      <c r="V28" s="37"/>
      <c r="W28" s="37"/>
      <c r="X28" s="37"/>
      <c r="Y28" s="35"/>
    </row>
    <row r="29" spans="1:25">
      <c r="A29" s="10"/>
      <c r="B29" s="27"/>
      <c r="C29" s="8"/>
      <c r="D29" s="8"/>
      <c r="E29" s="32"/>
      <c r="F29" s="9"/>
      <c r="G29" s="187" t="s">
        <v>340</v>
      </c>
      <c r="H29" s="191">
        <f>40*H26/100</f>
        <v>13.2</v>
      </c>
      <c r="I29" s="37"/>
      <c r="J29" s="200"/>
      <c r="K29" s="202"/>
      <c r="L29" s="200"/>
      <c r="M29" s="200"/>
      <c r="N29" s="200"/>
      <c r="O29" s="200"/>
      <c r="P29" s="37"/>
      <c r="Q29" s="163"/>
      <c r="R29" s="163"/>
      <c r="S29" s="163"/>
      <c r="T29" s="163"/>
      <c r="U29" s="37"/>
      <c r="V29" s="37"/>
      <c r="W29" s="37"/>
      <c r="X29" s="37"/>
      <c r="Y29" s="35"/>
    </row>
    <row r="30" spans="1:25">
      <c r="A30" s="10" t="s">
        <v>99</v>
      </c>
      <c r="B30" s="27"/>
      <c r="C30" s="8"/>
      <c r="D30" s="8"/>
      <c r="E30" s="12">
        <v>67</v>
      </c>
      <c r="F30" s="9"/>
      <c r="G30" s="185" t="s">
        <v>339</v>
      </c>
      <c r="H30" s="191">
        <f>100*(1-(H29/(62.4*1.5)+(40-H29)/62.4))</f>
        <v>42.948717948717949</v>
      </c>
      <c r="I30" s="37" t="s">
        <v>120</v>
      </c>
      <c r="J30" s="11">
        <v>10</v>
      </c>
      <c r="K30" s="203">
        <f>J30</f>
        <v>10</v>
      </c>
      <c r="L30" s="11">
        <v>11.4</v>
      </c>
      <c r="M30" s="11">
        <v>2.2999999999999998</v>
      </c>
      <c r="N30" s="11">
        <v>0</v>
      </c>
      <c r="O30" s="11">
        <v>2.2999999999999998</v>
      </c>
      <c r="P30" s="37"/>
      <c r="Q30" s="163">
        <f>L30*$J$30</f>
        <v>114</v>
      </c>
      <c r="R30" s="163">
        <f>M30*$J$30</f>
        <v>23</v>
      </c>
      <c r="S30" s="163">
        <f>N30*$J$30</f>
        <v>0</v>
      </c>
      <c r="T30" s="163">
        <f>O30*$J$30</f>
        <v>23</v>
      </c>
      <c r="U30" s="37"/>
      <c r="V30" s="37"/>
      <c r="W30" s="37"/>
      <c r="X30" s="37"/>
      <c r="Y30" s="35"/>
    </row>
    <row r="31" spans="1:25">
      <c r="A31" s="10"/>
      <c r="B31" s="27"/>
      <c r="C31" s="8"/>
      <c r="D31" s="8"/>
      <c r="E31" s="32"/>
      <c r="F31" s="9"/>
      <c r="G31" s="188"/>
      <c r="H31" s="196"/>
      <c r="I31" s="38" t="s">
        <v>39</v>
      </c>
      <c r="J31" s="201" t="s">
        <v>39</v>
      </c>
      <c r="K31" s="206" t="s">
        <v>39</v>
      </c>
      <c r="L31" s="201" t="s">
        <v>39</v>
      </c>
      <c r="M31" s="201" t="s">
        <v>39</v>
      </c>
      <c r="N31" s="201" t="s">
        <v>39</v>
      </c>
      <c r="O31" s="201" t="s">
        <v>39</v>
      </c>
      <c r="P31" s="38" t="s">
        <v>39</v>
      </c>
      <c r="Q31" s="38" t="s">
        <v>39</v>
      </c>
      <c r="R31" s="38" t="s">
        <v>39</v>
      </c>
      <c r="S31" s="38" t="s">
        <v>39</v>
      </c>
      <c r="T31" s="38" t="s">
        <v>39</v>
      </c>
      <c r="U31" s="37"/>
      <c r="V31" s="37"/>
      <c r="W31" s="37"/>
      <c r="X31" s="37"/>
      <c r="Y31" s="35"/>
    </row>
    <row r="32" spans="1:25">
      <c r="A32" s="10" t="s">
        <v>242</v>
      </c>
      <c r="B32" s="27"/>
      <c r="C32" s="8"/>
      <c r="D32" s="8"/>
      <c r="E32" s="12">
        <v>0.3</v>
      </c>
      <c r="F32" s="9"/>
      <c r="G32" s="189">
        <f>(3+((H26-35)/100))*(H28/H30)*(6/H24)</f>
        <v>1.3273296585399141</v>
      </c>
      <c r="H32" s="192"/>
      <c r="I32" s="37" t="s">
        <v>121</v>
      </c>
      <c r="J32" s="200" t="s">
        <v>16</v>
      </c>
      <c r="K32" s="202">
        <f>SUM(K12:K30)</f>
        <v>440</v>
      </c>
      <c r="L32" s="200"/>
      <c r="M32" s="200"/>
      <c r="N32" s="200"/>
      <c r="O32" s="200"/>
      <c r="P32" s="37"/>
      <c r="Q32" s="37"/>
      <c r="R32" s="37"/>
      <c r="S32" s="37"/>
      <c r="T32" s="37"/>
      <c r="U32" s="37"/>
      <c r="V32" s="37"/>
      <c r="W32" s="37"/>
      <c r="X32" s="37"/>
      <c r="Y32" s="35"/>
    </row>
    <row r="33" spans="1:25">
      <c r="A33" s="10" t="s">
        <v>140</v>
      </c>
      <c r="B33" s="27"/>
      <c r="C33" s="8"/>
      <c r="D33" s="8"/>
      <c r="E33" s="32"/>
      <c r="F33" s="9"/>
      <c r="G33" s="35"/>
      <c r="H33" s="35"/>
      <c r="I33" s="41"/>
      <c r="J33" s="200"/>
      <c r="K33" s="202"/>
      <c r="L33" s="200"/>
      <c r="M33" s="200"/>
      <c r="N33" s="200"/>
      <c r="O33" s="200"/>
      <c r="P33" s="37"/>
      <c r="Q33" s="37"/>
      <c r="R33" s="37"/>
      <c r="S33" s="37"/>
      <c r="T33" s="37"/>
      <c r="U33" s="37"/>
      <c r="V33" s="37"/>
      <c r="W33" s="37"/>
      <c r="X33" s="37"/>
      <c r="Y33" s="35"/>
    </row>
    <row r="34" spans="1:25">
      <c r="A34" s="10" t="s">
        <v>243</v>
      </c>
      <c r="B34" s="27"/>
      <c r="C34" s="8"/>
      <c r="D34" s="8"/>
      <c r="E34" s="12">
        <v>360</v>
      </c>
      <c r="F34" s="9"/>
      <c r="G34" s="35"/>
      <c r="H34" s="35"/>
      <c r="I34" s="37" t="s">
        <v>122</v>
      </c>
      <c r="J34" s="200"/>
      <c r="K34" s="202"/>
      <c r="L34" s="200"/>
      <c r="M34" s="200"/>
      <c r="N34" s="200"/>
      <c r="O34" s="200"/>
      <c r="P34" s="37"/>
      <c r="Q34" s="37"/>
      <c r="R34" s="37"/>
      <c r="S34" s="37"/>
      <c r="T34" s="37"/>
      <c r="U34" s="37"/>
      <c r="V34" s="37"/>
      <c r="W34" s="37"/>
      <c r="X34" s="37"/>
      <c r="Y34" s="35"/>
    </row>
    <row r="35" spans="1:25">
      <c r="A35" s="10"/>
      <c r="B35" s="27"/>
      <c r="C35" s="8"/>
      <c r="D35" s="8"/>
      <c r="E35" s="32"/>
      <c r="F35" s="9"/>
      <c r="G35" s="35"/>
      <c r="H35" s="35"/>
      <c r="I35" s="40" t="s">
        <v>123</v>
      </c>
      <c r="J35" s="11">
        <v>48</v>
      </c>
      <c r="K35" s="42"/>
      <c r="L35" s="11">
        <v>1.4</v>
      </c>
      <c r="M35" s="11">
        <v>0</v>
      </c>
      <c r="N35" s="11">
        <v>0</v>
      </c>
      <c r="O35" s="11">
        <v>0.9</v>
      </c>
      <c r="P35" s="37"/>
      <c r="Q35" s="163">
        <f>L35*$J$35</f>
        <v>67.199999999999989</v>
      </c>
      <c r="R35" s="163">
        <f>M35*$J$35</f>
        <v>0</v>
      </c>
      <c r="S35" s="163">
        <f>N35*$J$35</f>
        <v>0</v>
      </c>
      <c r="T35" s="163">
        <f>O35*$J$35</f>
        <v>43.2</v>
      </c>
      <c r="U35" s="37"/>
      <c r="V35" s="37"/>
      <c r="W35" s="37"/>
      <c r="X35" s="37"/>
      <c r="Y35" s="35"/>
    </row>
    <row r="36" spans="1:25">
      <c r="A36" s="10" t="s">
        <v>244</v>
      </c>
      <c r="B36" s="27"/>
      <c r="C36" s="8"/>
      <c r="D36" s="8"/>
      <c r="E36" s="12">
        <v>46</v>
      </c>
      <c r="F36" s="9"/>
      <c r="G36" s="35"/>
      <c r="H36" s="35"/>
      <c r="I36" s="40" t="s">
        <v>124</v>
      </c>
      <c r="J36" s="11">
        <v>48</v>
      </c>
      <c r="K36" s="42"/>
      <c r="L36" s="11">
        <v>2.2999999999999998</v>
      </c>
      <c r="M36" s="11">
        <v>0</v>
      </c>
      <c r="N36" s="11">
        <v>0</v>
      </c>
      <c r="O36" s="11">
        <v>1.4</v>
      </c>
      <c r="P36" s="37"/>
      <c r="Q36" s="163">
        <f>L36*$J$36</f>
        <v>110.39999999999999</v>
      </c>
      <c r="R36" s="163">
        <f>M36*$J$36</f>
        <v>0</v>
      </c>
      <c r="S36" s="163">
        <f>N36*$J$36</f>
        <v>0</v>
      </c>
      <c r="T36" s="163">
        <f>O36*$J$36</f>
        <v>67.199999999999989</v>
      </c>
      <c r="U36" s="37"/>
      <c r="V36" s="37"/>
      <c r="W36" s="37"/>
      <c r="X36" s="37"/>
      <c r="Y36" s="35"/>
    </row>
    <row r="37" spans="1:25">
      <c r="A37" s="10" t="s">
        <v>100</v>
      </c>
      <c r="B37" s="27"/>
      <c r="C37" s="8"/>
      <c r="D37" s="8"/>
      <c r="E37" s="9"/>
      <c r="F37" s="9"/>
      <c r="G37" s="35"/>
      <c r="H37" s="35"/>
      <c r="I37" s="40" t="s">
        <v>125</v>
      </c>
      <c r="J37" s="11">
        <v>72</v>
      </c>
      <c r="K37" s="42"/>
      <c r="L37" s="11">
        <v>1.8</v>
      </c>
      <c r="M37" s="11">
        <v>0.9</v>
      </c>
      <c r="N37" s="11">
        <v>0</v>
      </c>
      <c r="O37" s="11">
        <v>2.2999999999999998</v>
      </c>
      <c r="P37" s="37"/>
      <c r="Q37" s="163">
        <f>L37*$J$37</f>
        <v>129.6</v>
      </c>
      <c r="R37" s="163">
        <f>M37*$J$37</f>
        <v>64.8</v>
      </c>
      <c r="S37" s="163">
        <f>N37*$J$37</f>
        <v>0</v>
      </c>
      <c r="T37" s="163">
        <f>O37*$J$37</f>
        <v>165.6</v>
      </c>
      <c r="U37" s="37"/>
      <c r="V37" s="37"/>
      <c r="W37" s="37"/>
      <c r="X37" s="37"/>
      <c r="Y37" s="35"/>
    </row>
    <row r="38" spans="1:25">
      <c r="A38" s="33" t="s">
        <v>342</v>
      </c>
      <c r="B38" s="28"/>
      <c r="C38" s="28"/>
      <c r="D38" s="28"/>
      <c r="E38" s="28"/>
      <c r="F38" s="28"/>
      <c r="G38" s="34"/>
      <c r="H38" s="35"/>
      <c r="I38" s="40" t="s">
        <v>126</v>
      </c>
      <c r="J38" s="11">
        <v>48</v>
      </c>
      <c r="K38" s="42"/>
      <c r="L38" s="11">
        <v>1.8</v>
      </c>
      <c r="M38" s="11">
        <v>1.8</v>
      </c>
      <c r="N38" s="11">
        <v>0</v>
      </c>
      <c r="O38" s="11">
        <v>2.7</v>
      </c>
      <c r="P38" s="37"/>
      <c r="Q38" s="163">
        <f>L38*$J$38</f>
        <v>86.4</v>
      </c>
      <c r="R38" s="163">
        <f>M38*$J$38</f>
        <v>86.4</v>
      </c>
      <c r="S38" s="163">
        <f>N38*$J$38</f>
        <v>0</v>
      </c>
      <c r="T38" s="163">
        <f>O38*$J$38</f>
        <v>129.60000000000002</v>
      </c>
      <c r="U38" s="37"/>
      <c r="V38" s="37"/>
      <c r="W38" s="37"/>
      <c r="X38" s="37"/>
      <c r="Y38" s="35"/>
    </row>
    <row r="39" spans="1:25">
      <c r="H39" s="35"/>
      <c r="I39" s="40" t="s">
        <v>257</v>
      </c>
      <c r="J39" s="11">
        <v>156</v>
      </c>
      <c r="K39" s="42"/>
      <c r="L39" s="11">
        <v>3.2</v>
      </c>
      <c r="M39" s="11">
        <v>1.8</v>
      </c>
      <c r="N39" s="11">
        <v>0</v>
      </c>
      <c r="O39" s="11">
        <v>4.0999999999999996</v>
      </c>
      <c r="P39" s="37"/>
      <c r="Q39" s="163">
        <f>L39*$J$39</f>
        <v>499.20000000000005</v>
      </c>
      <c r="R39" s="163">
        <f>M39*$J$39</f>
        <v>280.8</v>
      </c>
      <c r="S39" s="163">
        <f>N39*$J$39</f>
        <v>0</v>
      </c>
      <c r="T39" s="163">
        <f>O39*$J$39</f>
        <v>639.59999999999991</v>
      </c>
      <c r="U39" s="37"/>
      <c r="V39" s="37"/>
      <c r="W39" s="37"/>
      <c r="X39" s="37"/>
      <c r="Y39" s="35"/>
    </row>
    <row r="40" spans="1:25">
      <c r="A40" s="13" t="s">
        <v>101</v>
      </c>
      <c r="B40" s="14"/>
      <c r="C40" s="15"/>
      <c r="D40" s="15"/>
      <c r="E40" s="16"/>
      <c r="F40" s="16"/>
      <c r="G40" s="17"/>
      <c r="H40" s="35"/>
      <c r="I40" s="38" t="s">
        <v>5</v>
      </c>
      <c r="J40" s="38" t="s">
        <v>5</v>
      </c>
      <c r="K40" s="206" t="s">
        <v>5</v>
      </c>
      <c r="L40" s="38" t="s">
        <v>5</v>
      </c>
      <c r="M40" s="38" t="s">
        <v>5</v>
      </c>
      <c r="N40" s="38" t="s">
        <v>5</v>
      </c>
      <c r="O40" s="38" t="s">
        <v>5</v>
      </c>
      <c r="P40" s="38" t="s">
        <v>5</v>
      </c>
      <c r="Q40" s="38" t="s">
        <v>5</v>
      </c>
      <c r="R40" s="38" t="s">
        <v>5</v>
      </c>
      <c r="S40" s="38" t="s">
        <v>5</v>
      </c>
      <c r="T40" s="38" t="s">
        <v>5</v>
      </c>
      <c r="U40" s="37"/>
      <c r="V40" s="37"/>
      <c r="W40" s="37"/>
      <c r="X40" s="37"/>
      <c r="Y40" s="35"/>
    </row>
    <row r="41" spans="1:25">
      <c r="A41" s="18" t="s">
        <v>5</v>
      </c>
      <c r="B41" s="19" t="s">
        <v>5</v>
      </c>
      <c r="C41" s="20" t="s">
        <v>5</v>
      </c>
      <c r="D41" s="20" t="s">
        <v>5</v>
      </c>
      <c r="E41" s="21" t="s">
        <v>5</v>
      </c>
      <c r="F41" s="21" t="s">
        <v>5</v>
      </c>
      <c r="G41" s="18" t="s">
        <v>5</v>
      </c>
      <c r="H41" s="35"/>
      <c r="I41" s="37" t="s">
        <v>122</v>
      </c>
      <c r="J41" s="37" t="s">
        <v>16</v>
      </c>
      <c r="K41" s="202">
        <f>SUM(J35:J39)</f>
        <v>372</v>
      </c>
      <c r="L41" s="37"/>
      <c r="M41" s="37"/>
      <c r="N41" s="37"/>
      <c r="O41" s="37"/>
      <c r="P41" s="37"/>
      <c r="Q41" s="37"/>
      <c r="R41" s="37"/>
      <c r="S41" s="37"/>
      <c r="T41" s="37"/>
      <c r="U41" s="37"/>
      <c r="V41" s="37"/>
      <c r="W41" s="37"/>
      <c r="X41" s="37"/>
      <c r="Y41" s="35"/>
    </row>
    <row r="42" spans="1:25">
      <c r="A42" s="67"/>
      <c r="B42" s="67" t="s">
        <v>104</v>
      </c>
      <c r="C42" s="68" t="s">
        <v>246</v>
      </c>
      <c r="D42" s="68" t="s">
        <v>107</v>
      </c>
      <c r="E42" s="69" t="s">
        <v>111</v>
      </c>
      <c r="F42" s="69" t="s">
        <v>114</v>
      </c>
      <c r="G42" s="67" t="s">
        <v>115</v>
      </c>
      <c r="H42" s="35"/>
      <c r="I42" s="37"/>
      <c r="J42" s="37"/>
      <c r="K42" s="202"/>
      <c r="L42" s="37"/>
      <c r="M42" s="37"/>
      <c r="N42" s="37"/>
      <c r="O42" s="37"/>
      <c r="P42" s="37"/>
      <c r="Q42" s="37"/>
      <c r="R42" s="37"/>
      <c r="S42" s="37"/>
      <c r="T42" s="37"/>
      <c r="U42" s="37"/>
      <c r="V42" s="37"/>
      <c r="W42" s="37"/>
      <c r="X42" s="37"/>
      <c r="Y42" s="35"/>
    </row>
    <row r="43" spans="1:25">
      <c r="A43" s="67" t="s">
        <v>103</v>
      </c>
      <c r="B43" s="70" t="s">
        <v>245</v>
      </c>
      <c r="C43" s="71" t="s">
        <v>105</v>
      </c>
      <c r="D43" s="68" t="s">
        <v>108</v>
      </c>
      <c r="E43" s="69" t="s">
        <v>112</v>
      </c>
      <c r="F43" s="69" t="s">
        <v>111</v>
      </c>
      <c r="G43" s="67" t="s">
        <v>134</v>
      </c>
      <c r="H43" s="35"/>
      <c r="I43" s="37"/>
      <c r="J43" s="37"/>
      <c r="K43" s="37"/>
      <c r="L43" s="37"/>
      <c r="M43" s="37"/>
      <c r="N43" s="37"/>
      <c r="O43" s="37"/>
      <c r="P43" s="37"/>
      <c r="Q43" s="37"/>
      <c r="R43" s="37"/>
      <c r="S43" s="37"/>
      <c r="T43" s="37"/>
      <c r="U43" s="37"/>
      <c r="V43" s="37"/>
      <c r="W43" s="37"/>
      <c r="X43" s="37"/>
      <c r="Y43" s="35"/>
    </row>
    <row r="44" spans="1:25">
      <c r="A44" s="67" t="s">
        <v>102</v>
      </c>
      <c r="B44" s="70" t="s">
        <v>108</v>
      </c>
      <c r="C44" s="68" t="s">
        <v>66</v>
      </c>
      <c r="D44" s="68"/>
      <c r="E44" s="69"/>
      <c r="F44" s="69" t="s">
        <v>135</v>
      </c>
      <c r="G44" s="67"/>
      <c r="H44" s="35"/>
      <c r="I44" s="37"/>
      <c r="J44" s="37"/>
      <c r="K44" s="37"/>
      <c r="L44" s="37"/>
      <c r="M44" s="37" t="s">
        <v>133</v>
      </c>
      <c r="N44" s="37"/>
      <c r="O44" s="37"/>
      <c r="P44" s="37"/>
      <c r="Q44" s="36">
        <f>SUM(Q14:Q39)</f>
        <v>2838.2</v>
      </c>
      <c r="R44" s="36">
        <f>SUM(R14:R39)</f>
        <v>1362.6</v>
      </c>
      <c r="S44" s="36">
        <f>SUM(S14:S39)</f>
        <v>372</v>
      </c>
      <c r="T44" s="36">
        <f>SUM(T14:T39)</f>
        <v>3117.5999999999995</v>
      </c>
      <c r="U44" s="81"/>
      <c r="V44" s="37"/>
      <c r="W44" s="37"/>
      <c r="X44" s="37"/>
      <c r="Y44" s="35"/>
    </row>
    <row r="45" spans="1:25">
      <c r="A45" s="67"/>
      <c r="B45" s="70"/>
      <c r="C45" s="67" t="s">
        <v>106</v>
      </c>
      <c r="D45" s="68" t="s">
        <v>110</v>
      </c>
      <c r="E45" s="69"/>
      <c r="F45" s="69" t="s">
        <v>247</v>
      </c>
      <c r="G45" s="67"/>
      <c r="H45" s="35"/>
      <c r="P45" s="45"/>
    </row>
    <row r="46" spans="1:25">
      <c r="A46" s="67" t="s">
        <v>110</v>
      </c>
      <c r="B46" s="70" t="s">
        <v>110</v>
      </c>
      <c r="C46" s="68"/>
      <c r="D46" s="68" t="s">
        <v>109</v>
      </c>
      <c r="E46" s="69" t="s">
        <v>113</v>
      </c>
      <c r="F46" s="69" t="s">
        <v>113</v>
      </c>
      <c r="G46" s="67" t="s">
        <v>72</v>
      </c>
      <c r="H46" s="35"/>
    </row>
    <row r="47" spans="1:25">
      <c r="A47" s="18" t="s">
        <v>5</v>
      </c>
      <c r="B47" s="19" t="s">
        <v>5</v>
      </c>
      <c r="C47" s="20" t="s">
        <v>5</v>
      </c>
      <c r="D47" s="20" t="s">
        <v>5</v>
      </c>
      <c r="E47" s="21" t="s">
        <v>5</v>
      </c>
      <c r="F47" s="21" t="s">
        <v>5</v>
      </c>
      <c r="G47" s="18" t="s">
        <v>5</v>
      </c>
      <c r="H47" s="35"/>
    </row>
    <row r="48" spans="1:25">
      <c r="A48" s="17">
        <v>1.5</v>
      </c>
      <c r="B48" s="103">
        <f>IF(($E$19)/($E$32*$A48*$E$28*(1-($E$30/100)))&lt;2*$E$15,"Não Usar",($E$19)/($E$32*$A48*$E$28*(1-($E$30/100))))</f>
        <v>25.990400458485574</v>
      </c>
      <c r="C48" s="93">
        <f>IF(B48="Não Usar","Não Usar",ROUND(((+$E$32)*($E$34/($E$36-$A48*3))+0.4),0))</f>
        <v>3</v>
      </c>
      <c r="D48" s="105">
        <f>IF(B48="Não Usar","Não Usar",((($E$19*$E$34/(1-($E$22+$E$25+$G$32)/100))/($E$28*(1-($E$30/100)))/($C48*($B48*$A48))+3*$A48)))</f>
        <v>47.52480111258248</v>
      </c>
      <c r="E48" s="22">
        <f>IF(B48="Não Usar","Não Usar",($E$19/(1-($E$22+$E$25+$G$32)/100)*($E$34/1000)*(1+0.0225*($B48/$I$53-1))))</f>
        <v>1208.6356750334269</v>
      </c>
      <c r="F48" s="22">
        <f>IF(B48="Não Usar","Não Usar",+$E48*($E$22+$E$25+$G$32+2.25*($B48/$I$53-1))/100)</f>
        <v>236.49772690450985</v>
      </c>
      <c r="G48" s="22">
        <f>IF(B48="Não Usar","Não Usar",($F48/$E48)*100)</f>
        <v>19.567329658539915</v>
      </c>
      <c r="H48" s="86"/>
    </row>
    <row r="49" spans="1:9">
      <c r="A49" s="17">
        <v>2</v>
      </c>
      <c r="B49" s="103">
        <f t="shared" ref="B49:B61" si="0">IF(($E$19)/($E$32*$A49*$E$28*(1-($E$30/100)))&lt;2*$E$15,"Não Usar",($E$19)/($E$32*$A49*$E$28*(1-($E$30/100))))</f>
        <v>19.492800343864179</v>
      </c>
      <c r="C49" s="93">
        <f t="shared" ref="C49:C61" si="1">IF(B49="Não Usar","Não Usar",ROUND(((+$E$32)*($E$34/($E$36-$A49*3))+0.4),0))</f>
        <v>3</v>
      </c>
      <c r="D49" s="105">
        <f t="shared" ref="D49:D61" si="2">IF(B49="Não Usar","Não Usar",((($E$19*$E$34/(1-($E$22+$E$25+$G$32)/100))/($E$28*(1-($E$30/100)))/($C49*($B49*$A49))+3*$A49)))</f>
        <v>49.024801112582487</v>
      </c>
      <c r="E49" s="22">
        <f t="shared" ref="E49:E61" si="3">IF(B49="Não Usar","Não Usar",($E$19/(1-($E$22+$E$25+$G$32)/100)*($E$34/1000)*(1+0.0225*($B49/$I$53-1))))</f>
        <v>1192.5677511281249</v>
      </c>
      <c r="F49" s="22">
        <f t="shared" ref="F49:F61" si="4">IF(B49="Não Usar","Não Usar",+$E49*($E$22+$E$25+$G$32+2.25*($B49/$I$53-1))/100)</f>
        <v>216.98567088044251</v>
      </c>
      <c r="G49" s="22">
        <f t="shared" ref="G49:G61" si="5">IF(B49="Não Usar","Não Usar",($F49/$E49)*100)</f>
        <v>18.194829658539913</v>
      </c>
      <c r="H49" s="86"/>
    </row>
    <row r="50" spans="1:9">
      <c r="A50" s="17">
        <v>2.5</v>
      </c>
      <c r="B50" s="103">
        <f t="shared" si="0"/>
        <v>15.594240275091341</v>
      </c>
      <c r="C50" s="93">
        <f t="shared" si="1"/>
        <v>3</v>
      </c>
      <c r="D50" s="105">
        <f t="shared" si="2"/>
        <v>50.524801112582495</v>
      </c>
      <c r="E50" s="22">
        <f t="shared" si="3"/>
        <v>1182.9269967849436</v>
      </c>
      <c r="F50" s="22">
        <f t="shared" si="4"/>
        <v>205.49014823137841</v>
      </c>
      <c r="G50" s="22">
        <f t="shared" si="5"/>
        <v>17.371329658539914</v>
      </c>
      <c r="H50" s="86"/>
    </row>
    <row r="51" spans="1:9">
      <c r="A51" s="24">
        <v>3</v>
      </c>
      <c r="B51" s="103">
        <f t="shared" si="0"/>
        <v>12.995200229242787</v>
      </c>
      <c r="C51" s="93">
        <f t="shared" si="1"/>
        <v>3</v>
      </c>
      <c r="D51" s="105">
        <f t="shared" si="2"/>
        <v>52.02480111258248</v>
      </c>
      <c r="E51" s="22">
        <f t="shared" si="3"/>
        <v>1176.4998272228229</v>
      </c>
      <c r="F51" s="22">
        <f t="shared" si="4"/>
        <v>197.91467936757579</v>
      </c>
      <c r="G51" s="22">
        <f t="shared" si="5"/>
        <v>16.822329658539914</v>
      </c>
      <c r="H51" s="87"/>
    </row>
    <row r="52" spans="1:9">
      <c r="A52" s="17">
        <v>3.5</v>
      </c>
      <c r="B52" s="103">
        <f t="shared" si="0"/>
        <v>11.138743053636672</v>
      </c>
      <c r="C52" s="93">
        <f t="shared" si="1"/>
        <v>3</v>
      </c>
      <c r="D52" s="105">
        <f t="shared" si="2"/>
        <v>53.524801112582495</v>
      </c>
      <c r="E52" s="22">
        <f t="shared" si="3"/>
        <v>1171.9089918213078</v>
      </c>
      <c r="F52" s="22">
        <f t="shared" si="4"/>
        <v>192.54683649860982</v>
      </c>
      <c r="G52" s="22">
        <f t="shared" si="5"/>
        <v>16.430186801397056</v>
      </c>
      <c r="H52" s="86"/>
    </row>
    <row r="53" spans="1:9">
      <c r="A53" s="25">
        <v>3.66</v>
      </c>
      <c r="B53" s="104">
        <f t="shared" si="0"/>
        <v>10.651803466592446</v>
      </c>
      <c r="C53" s="64">
        <f t="shared" si="1"/>
        <v>3</v>
      </c>
      <c r="D53" s="104">
        <f t="shared" si="2"/>
        <v>54.004801112582498</v>
      </c>
      <c r="E53" s="102">
        <f t="shared" si="3"/>
        <v>1170.7048382733697</v>
      </c>
      <c r="F53" s="102">
        <f t="shared" si="4"/>
        <v>191.1448382733696</v>
      </c>
      <c r="G53" s="102">
        <f t="shared" si="5"/>
        <v>16.327329658539913</v>
      </c>
      <c r="H53" s="88" t="s">
        <v>73</v>
      </c>
      <c r="I53" s="193">
        <f>($E$19)/($E$32*A53*$E$28*(1-($E$30/100)))</f>
        <v>10.651803466592446</v>
      </c>
    </row>
    <row r="54" spans="1:9">
      <c r="A54" s="17">
        <v>4</v>
      </c>
      <c r="B54" s="103">
        <f t="shared" si="0"/>
        <v>9.7464001719320894</v>
      </c>
      <c r="C54" s="93">
        <f t="shared" si="1"/>
        <v>4</v>
      </c>
      <c r="D54" s="105">
        <f t="shared" si="2"/>
        <v>44.268600834436867</v>
      </c>
      <c r="E54" s="22">
        <f t="shared" si="3"/>
        <v>1168.4658652701719</v>
      </c>
      <c r="F54" s="22">
        <f t="shared" si="4"/>
        <v>188.5445828028426</v>
      </c>
      <c r="G54" s="22">
        <f t="shared" si="5"/>
        <v>16.136079658539913</v>
      </c>
      <c r="H54" s="89"/>
    </row>
    <row r="55" spans="1:9">
      <c r="A55" s="17">
        <v>4.5</v>
      </c>
      <c r="B55" s="103">
        <f t="shared" si="0"/>
        <v>8.6634668194951896</v>
      </c>
      <c r="C55" s="93">
        <f t="shared" si="1"/>
        <v>4</v>
      </c>
      <c r="D55" s="105">
        <f t="shared" si="2"/>
        <v>45.768600834436867</v>
      </c>
      <c r="E55" s="22">
        <f t="shared" si="3"/>
        <v>1165.7878779526216</v>
      </c>
      <c r="F55" s="22">
        <f t="shared" si="4"/>
        <v>185.44572086522047</v>
      </c>
      <c r="G55" s="22">
        <f t="shared" si="5"/>
        <v>15.907329658539915</v>
      </c>
      <c r="H55" s="89"/>
    </row>
    <row r="56" spans="1:9">
      <c r="A56" s="17">
        <v>5</v>
      </c>
      <c r="B56" s="103">
        <f t="shared" si="0"/>
        <v>7.7971201375456705</v>
      </c>
      <c r="C56" s="93">
        <f t="shared" si="1"/>
        <v>4</v>
      </c>
      <c r="D56" s="105">
        <f t="shared" si="2"/>
        <v>47.268600834436867</v>
      </c>
      <c r="E56" s="22">
        <f t="shared" si="3"/>
        <v>1163.6454880985812</v>
      </c>
      <c r="F56" s="22">
        <f t="shared" si="4"/>
        <v>182.97545260534673</v>
      </c>
      <c r="G56" s="22">
        <f t="shared" si="5"/>
        <v>15.724329658539911</v>
      </c>
      <c r="H56" s="89"/>
    </row>
    <row r="57" spans="1:9">
      <c r="A57" s="17">
        <v>5.5</v>
      </c>
      <c r="B57" s="103">
        <f t="shared" si="0"/>
        <v>7.0882910341324274</v>
      </c>
      <c r="C57" s="93">
        <f t="shared" si="1"/>
        <v>4</v>
      </c>
      <c r="D57" s="105">
        <f t="shared" si="2"/>
        <v>48.768600834436867</v>
      </c>
      <c r="E57" s="22">
        <f t="shared" si="3"/>
        <v>1161.8926236725483</v>
      </c>
      <c r="F57" s="22">
        <f t="shared" si="4"/>
        <v>180.96015628708582</v>
      </c>
      <c r="G57" s="22">
        <f t="shared" si="5"/>
        <v>15.574602385812641</v>
      </c>
      <c r="H57" s="89"/>
    </row>
    <row r="58" spans="1:9">
      <c r="A58" s="17">
        <v>6</v>
      </c>
      <c r="B58" s="103">
        <f t="shared" si="0"/>
        <v>6.4976001146213935</v>
      </c>
      <c r="C58" s="93">
        <f t="shared" si="1"/>
        <v>4</v>
      </c>
      <c r="D58" s="105">
        <f t="shared" si="2"/>
        <v>50.26860083443686</v>
      </c>
      <c r="E58" s="22">
        <f t="shared" si="3"/>
        <v>1160.4319033175209</v>
      </c>
      <c r="F58" s="22">
        <f t="shared" si="4"/>
        <v>179.28475236590955</v>
      </c>
      <c r="G58" s="22">
        <f t="shared" si="5"/>
        <v>15.449829658539912</v>
      </c>
      <c r="H58" s="89"/>
    </row>
    <row r="59" spans="1:9">
      <c r="A59" s="17">
        <v>6.5</v>
      </c>
      <c r="B59" s="103">
        <f t="shared" si="0"/>
        <v>5.9977847211889772</v>
      </c>
      <c r="C59" s="93">
        <f t="shared" si="1"/>
        <v>4</v>
      </c>
      <c r="D59" s="105">
        <f t="shared" si="2"/>
        <v>51.768600834436867</v>
      </c>
      <c r="E59" s="22">
        <f t="shared" si="3"/>
        <v>1159.1959091709591</v>
      </c>
      <c r="F59" s="22">
        <f t="shared" si="4"/>
        <v>177.86995000233998</v>
      </c>
      <c r="G59" s="22">
        <f t="shared" si="5"/>
        <v>15.344252735462991</v>
      </c>
      <c r="H59" s="86"/>
    </row>
    <row r="60" spans="1:9">
      <c r="A60" s="17">
        <v>7</v>
      </c>
      <c r="B60" s="103">
        <f t="shared" si="0"/>
        <v>5.5693715268183359</v>
      </c>
      <c r="C60" s="93">
        <f t="shared" si="1"/>
        <v>5</v>
      </c>
      <c r="D60" s="105">
        <f t="shared" si="2"/>
        <v>46.814880667549495</v>
      </c>
      <c r="E60" s="22">
        <f t="shared" si="3"/>
        <v>1158.1364856167634</v>
      </c>
      <c r="F60" s="22">
        <f t="shared" si="4"/>
        <v>176.65933948903483</v>
      </c>
      <c r="G60" s="22">
        <f t="shared" si="5"/>
        <v>15.253758229968486</v>
      </c>
      <c r="H60" s="35"/>
    </row>
    <row r="61" spans="1:9">
      <c r="A61" s="17">
        <v>7.5</v>
      </c>
      <c r="B61" s="103" t="str">
        <f t="shared" si="0"/>
        <v>Não Usar</v>
      </c>
      <c r="C61" s="93" t="str">
        <f t="shared" si="1"/>
        <v>Não Usar</v>
      </c>
      <c r="D61" s="105" t="str">
        <f t="shared" si="2"/>
        <v>Não Usar</v>
      </c>
      <c r="E61" s="22" t="str">
        <f t="shared" si="3"/>
        <v>Não Usar</v>
      </c>
      <c r="F61" s="22" t="str">
        <f t="shared" si="4"/>
        <v>Não Usar</v>
      </c>
      <c r="G61" s="22" t="str">
        <f t="shared" si="5"/>
        <v>Não Usar</v>
      </c>
      <c r="H61" s="35"/>
    </row>
    <row r="62" spans="1:9">
      <c r="A62" s="18" t="s">
        <v>5</v>
      </c>
      <c r="B62" s="19" t="s">
        <v>5</v>
      </c>
      <c r="C62" s="20" t="s">
        <v>5</v>
      </c>
      <c r="D62" s="20" t="s">
        <v>5</v>
      </c>
      <c r="E62" s="21" t="s">
        <v>5</v>
      </c>
      <c r="F62" s="21" t="s">
        <v>5</v>
      </c>
      <c r="G62" s="18" t="s">
        <v>5</v>
      </c>
      <c r="H62" s="35"/>
    </row>
    <row r="63" spans="1:9">
      <c r="A63" s="5" t="s">
        <v>248</v>
      </c>
      <c r="B63" s="1"/>
      <c r="C63" s="2"/>
      <c r="D63" s="2"/>
      <c r="E63" s="3"/>
      <c r="F63" s="3"/>
    </row>
    <row r="64" spans="1:9">
      <c r="A64" s="5" t="s">
        <v>249</v>
      </c>
      <c r="B64" s="1"/>
      <c r="C64" s="2"/>
      <c r="D64" s="2"/>
      <c r="E64" s="3"/>
      <c r="F64" s="3"/>
    </row>
  </sheetData>
  <sheetProtection sheet="1" objects="1" scenarios="1"/>
  <phoneticPr fontId="3" type="noConversion"/>
  <dataValidations count="1">
    <dataValidation type="list" allowBlank="1" showInputMessage="1" showErrorMessage="1" sqref="E17" xr:uid="{00000000-0002-0000-0300-000000000000}">
      <formula1>"Silagem Forragem1, Silagem Forragem2, Silagem Forragem3, Silagem Milho, Minha Silagem"</formula1>
    </dataValidation>
  </dataValidations>
  <pageMargins left="0.75" right="0.75" top="1" bottom="1" header="0.5" footer="0.5"/>
  <pageSetup scale="69" orientation="portrait" horizontalDpi="200" verticalDpi="200" r:id="rId1"/>
  <headerFooter alignWithMargins="0"/>
  <colBreaks count="2" manualBreakCount="2">
    <brk id="8" max="61" man="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64"/>
  <sheetViews>
    <sheetView zoomScale="80" zoomScaleNormal="80" zoomScalePageLayoutView="80" workbookViewId="0">
      <selection activeCell="F19" sqref="F19"/>
    </sheetView>
  </sheetViews>
  <sheetFormatPr defaultColWidth="8.85546875" defaultRowHeight="12.75"/>
  <cols>
    <col min="1" max="1" width="18.42578125" customWidth="1"/>
    <col min="2" max="2" width="17" customWidth="1"/>
    <col min="3" max="3" width="22.140625" customWidth="1"/>
    <col min="4" max="4" width="23.85546875" customWidth="1"/>
    <col min="5" max="5" width="33.7109375" customWidth="1"/>
    <col min="6" max="6" width="28" customWidth="1"/>
    <col min="7" max="7" width="11.42578125" customWidth="1"/>
    <col min="8" max="8" width="5.28515625" customWidth="1"/>
    <col min="9" max="9" width="23.42578125" customWidth="1"/>
    <col min="10" max="10" width="11.140625" customWidth="1"/>
    <col min="15" max="15" width="12.28515625" customWidth="1"/>
    <col min="16" max="16" width="8.42578125" customWidth="1"/>
    <col min="17" max="17" width="9.140625" customWidth="1"/>
    <col min="18" max="18" width="8.85546875" customWidth="1"/>
    <col min="19" max="19" width="11.85546875" customWidth="1"/>
    <col min="20" max="20" width="13" customWidth="1"/>
  </cols>
  <sheetData>
    <row r="1" spans="1:20">
      <c r="A1" s="45" t="s">
        <v>146</v>
      </c>
      <c r="B1" s="1"/>
      <c r="C1" s="2"/>
      <c r="D1" s="2"/>
      <c r="E1" s="3"/>
      <c r="F1" s="3"/>
    </row>
    <row r="2" spans="1:20">
      <c r="B2" s="7" t="s">
        <v>260</v>
      </c>
      <c r="C2" s="2"/>
      <c r="D2" s="2"/>
      <c r="E2" s="3"/>
      <c r="F2" s="3"/>
    </row>
    <row r="3" spans="1:20">
      <c r="A3" t="s">
        <v>147</v>
      </c>
      <c r="B3" s="1"/>
      <c r="C3" s="2"/>
      <c r="D3" s="2"/>
      <c r="E3" s="3"/>
      <c r="F3" s="3"/>
    </row>
    <row r="4" spans="1:20">
      <c r="A4" t="s">
        <v>148</v>
      </c>
      <c r="B4" s="1"/>
      <c r="C4" s="2"/>
      <c r="D4" s="2"/>
      <c r="E4" s="3"/>
      <c r="F4" s="3"/>
    </row>
    <row r="5" spans="1:20">
      <c r="A5" t="s">
        <v>149</v>
      </c>
      <c r="B5" s="1"/>
      <c r="C5" s="2"/>
      <c r="D5" s="2"/>
      <c r="E5" s="3"/>
      <c r="F5" s="3"/>
    </row>
    <row r="6" spans="1:20">
      <c r="A6" t="s">
        <v>150</v>
      </c>
      <c r="B6" s="1"/>
      <c r="C6" s="2"/>
      <c r="D6" s="2"/>
      <c r="E6" s="3"/>
      <c r="F6" s="3"/>
      <c r="H6" s="35"/>
      <c r="I6" s="36" t="s">
        <v>430</v>
      </c>
      <c r="J6" s="37"/>
      <c r="K6" s="37"/>
      <c r="L6" s="37"/>
      <c r="M6" s="37"/>
      <c r="N6" s="37"/>
      <c r="O6" s="37"/>
      <c r="P6" s="37"/>
      <c r="Q6" s="37"/>
      <c r="R6" s="37"/>
      <c r="S6" s="37"/>
      <c r="T6" s="37"/>
    </row>
    <row r="7" spans="1:20">
      <c r="A7" t="s">
        <v>89</v>
      </c>
      <c r="B7" s="1"/>
      <c r="C7" s="2"/>
      <c r="D7" s="2"/>
      <c r="E7" s="3"/>
      <c r="F7" s="3"/>
      <c r="H7" s="35"/>
      <c r="I7" s="38" t="s">
        <v>5</v>
      </c>
      <c r="J7" s="38" t="s">
        <v>5</v>
      </c>
      <c r="K7" s="38" t="s">
        <v>5</v>
      </c>
      <c r="L7" s="38" t="s">
        <v>5</v>
      </c>
      <c r="M7" s="38" t="s">
        <v>5</v>
      </c>
      <c r="N7" s="38" t="s">
        <v>5</v>
      </c>
      <c r="O7" s="38" t="s">
        <v>5</v>
      </c>
      <c r="P7" s="38" t="s">
        <v>5</v>
      </c>
      <c r="Q7" s="38" t="s">
        <v>5</v>
      </c>
      <c r="R7" s="38" t="s">
        <v>5</v>
      </c>
      <c r="S7" s="38" t="s">
        <v>5</v>
      </c>
      <c r="T7" s="38" t="s">
        <v>5</v>
      </c>
    </row>
    <row r="8" spans="1:20">
      <c r="A8" t="s">
        <v>6</v>
      </c>
      <c r="B8" s="1"/>
      <c r="C8" s="2"/>
      <c r="D8" s="2"/>
      <c r="E8" s="3"/>
      <c r="F8" s="3"/>
      <c r="H8" s="35"/>
      <c r="I8" s="37"/>
      <c r="J8" s="37"/>
      <c r="K8" s="37"/>
      <c r="L8" s="37" t="s">
        <v>151</v>
      </c>
      <c r="M8" s="37" t="s">
        <v>152</v>
      </c>
      <c r="N8" s="37" t="s">
        <v>153</v>
      </c>
      <c r="O8" s="37" t="s">
        <v>154</v>
      </c>
      <c r="P8" s="37"/>
      <c r="Q8" s="37" t="s">
        <v>151</v>
      </c>
      <c r="R8" s="37" t="s">
        <v>152</v>
      </c>
      <c r="S8" s="37" t="s">
        <v>153</v>
      </c>
      <c r="T8" s="37" t="s">
        <v>154</v>
      </c>
    </row>
    <row r="9" spans="1:20">
      <c r="A9" t="s">
        <v>11</v>
      </c>
      <c r="B9" s="1"/>
      <c r="C9" s="2"/>
      <c r="E9" s="44"/>
      <c r="F9" s="44"/>
      <c r="G9" s="35"/>
      <c r="H9" s="35"/>
      <c r="I9" s="37"/>
      <c r="J9" s="37" t="s">
        <v>155</v>
      </c>
      <c r="K9" s="37"/>
      <c r="L9" s="37" t="s">
        <v>156</v>
      </c>
      <c r="M9" s="37" t="s">
        <v>156</v>
      </c>
      <c r="N9" s="37" t="s">
        <v>156</v>
      </c>
      <c r="O9" s="37" t="s">
        <v>157</v>
      </c>
      <c r="P9" s="37"/>
      <c r="Q9" s="37" t="s">
        <v>156</v>
      </c>
      <c r="R9" s="37" t="s">
        <v>156</v>
      </c>
      <c r="S9" s="37" t="s">
        <v>156</v>
      </c>
      <c r="T9" s="37" t="s">
        <v>157</v>
      </c>
    </row>
    <row r="10" spans="1:20">
      <c r="A10" s="6" t="s">
        <v>75</v>
      </c>
      <c r="B10" s="1"/>
      <c r="C10" s="2"/>
      <c r="D10" s="2"/>
      <c r="E10" s="3"/>
      <c r="F10" s="3"/>
      <c r="H10" s="35"/>
      <c r="I10" s="37"/>
      <c r="J10" s="37" t="s">
        <v>158</v>
      </c>
      <c r="K10" s="37"/>
      <c r="L10" s="37"/>
      <c r="M10" s="37"/>
      <c r="N10" s="37"/>
      <c r="O10" s="37"/>
      <c r="P10" s="37"/>
      <c r="Q10" s="37"/>
      <c r="R10" s="37"/>
      <c r="S10" s="37"/>
      <c r="T10" s="37"/>
    </row>
    <row r="11" spans="1:20">
      <c r="B11" s="1"/>
      <c r="C11" s="2"/>
      <c r="D11" s="2"/>
      <c r="E11" s="3"/>
      <c r="F11" s="3"/>
      <c r="H11" s="35"/>
      <c r="I11" s="37" t="s">
        <v>159</v>
      </c>
      <c r="J11" s="37" t="s">
        <v>160</v>
      </c>
      <c r="K11" s="37" t="s">
        <v>161</v>
      </c>
      <c r="L11" s="39" t="s">
        <v>162</v>
      </c>
      <c r="M11" s="37"/>
      <c r="N11" s="37"/>
      <c r="O11" s="37"/>
      <c r="P11" s="37"/>
      <c r="Q11" s="39" t="s">
        <v>163</v>
      </c>
      <c r="R11" s="37"/>
      <c r="S11" s="37"/>
      <c r="T11" s="37"/>
    </row>
    <row r="12" spans="1:20">
      <c r="B12" s="1"/>
      <c r="C12" s="8" t="s">
        <v>164</v>
      </c>
      <c r="D12" s="8"/>
      <c r="E12" s="9"/>
      <c r="F12" s="9"/>
      <c r="G12" s="35"/>
      <c r="H12" s="35"/>
      <c r="I12" s="38" t="s">
        <v>5</v>
      </c>
      <c r="J12" s="38" t="s">
        <v>5</v>
      </c>
      <c r="K12" s="38" t="s">
        <v>5</v>
      </c>
      <c r="L12" s="38" t="s">
        <v>5</v>
      </c>
      <c r="M12" s="38" t="s">
        <v>5</v>
      </c>
      <c r="N12" s="38" t="s">
        <v>5</v>
      </c>
      <c r="O12" s="38" t="s">
        <v>5</v>
      </c>
      <c r="P12" s="38" t="s">
        <v>5</v>
      </c>
      <c r="Q12" s="38" t="s">
        <v>5</v>
      </c>
      <c r="R12" s="38" t="s">
        <v>5</v>
      </c>
      <c r="S12" s="38" t="s">
        <v>5</v>
      </c>
      <c r="T12" s="38" t="s">
        <v>5</v>
      </c>
    </row>
    <row r="13" spans="1:20">
      <c r="A13" s="26" t="s">
        <v>165</v>
      </c>
      <c r="B13" s="27"/>
      <c r="C13" s="8"/>
      <c r="D13" s="8"/>
      <c r="E13" s="9"/>
      <c r="F13" s="9"/>
      <c r="H13" s="35"/>
      <c r="I13" s="37" t="s">
        <v>166</v>
      </c>
      <c r="J13" s="37"/>
      <c r="K13" s="37">
        <f>SUM(J14:J17)</f>
        <v>68</v>
      </c>
      <c r="L13" s="37"/>
      <c r="M13" s="37"/>
      <c r="N13" s="37"/>
      <c r="O13" s="37"/>
      <c r="P13" s="37"/>
      <c r="Q13" s="37"/>
      <c r="R13" s="37"/>
      <c r="S13" s="37"/>
      <c r="T13" s="37"/>
    </row>
    <row r="14" spans="1:20">
      <c r="A14" s="33" t="s">
        <v>92</v>
      </c>
      <c r="B14" s="33" t="s">
        <v>92</v>
      </c>
      <c r="C14" s="33" t="s">
        <v>92</v>
      </c>
      <c r="D14" s="33" t="s">
        <v>92</v>
      </c>
      <c r="E14" s="33" t="s">
        <v>92</v>
      </c>
      <c r="F14" s="33" t="s">
        <v>92</v>
      </c>
      <c r="H14" s="35"/>
      <c r="I14" s="40" t="s">
        <v>167</v>
      </c>
      <c r="J14" s="11">
        <v>8</v>
      </c>
      <c r="K14" s="42"/>
      <c r="L14" s="11">
        <v>0</v>
      </c>
      <c r="M14" s="11">
        <v>0</v>
      </c>
      <c r="N14" s="11">
        <v>9.1</v>
      </c>
      <c r="O14" s="11">
        <v>0</v>
      </c>
      <c r="P14" s="37"/>
      <c r="Q14" s="163">
        <f>L14*$J$14</f>
        <v>0</v>
      </c>
      <c r="R14" s="163">
        <f>M14*$J$14</f>
        <v>0</v>
      </c>
      <c r="S14" s="163">
        <f>N14*$J$14</f>
        <v>72.8</v>
      </c>
      <c r="T14" s="163">
        <f>O14*$J$14</f>
        <v>0</v>
      </c>
    </row>
    <row r="15" spans="1:20">
      <c r="A15" s="10" t="s">
        <v>168</v>
      </c>
      <c r="B15" s="27"/>
      <c r="C15" s="8"/>
      <c r="D15" s="8"/>
      <c r="E15" s="12">
        <v>2.7</v>
      </c>
      <c r="F15" s="9"/>
      <c r="G15" s="35"/>
      <c r="H15" s="35"/>
      <c r="I15" s="40" t="s">
        <v>169</v>
      </c>
      <c r="J15" s="11">
        <v>22</v>
      </c>
      <c r="K15" s="42"/>
      <c r="L15" s="11">
        <v>0</v>
      </c>
      <c r="M15" s="11">
        <v>4.5</v>
      </c>
      <c r="N15" s="11">
        <v>6.8</v>
      </c>
      <c r="O15" s="11">
        <v>0</v>
      </c>
      <c r="P15" s="37"/>
      <c r="Q15" s="163">
        <f>L15*$J$15</f>
        <v>0</v>
      </c>
      <c r="R15" s="163">
        <f>M15*$J$15</f>
        <v>99</v>
      </c>
      <c r="S15" s="163">
        <f>N15*$J$15</f>
        <v>149.6</v>
      </c>
      <c r="T15" s="163">
        <f>O15*$J$15</f>
        <v>0</v>
      </c>
    </row>
    <row r="16" spans="1:20">
      <c r="A16" s="33"/>
      <c r="B16" s="29"/>
      <c r="C16" s="30"/>
      <c r="D16" s="30"/>
      <c r="E16" s="31"/>
      <c r="F16" s="31"/>
      <c r="G16" s="34"/>
      <c r="H16" s="35"/>
      <c r="I16" s="40" t="s">
        <v>170</v>
      </c>
      <c r="J16" s="11">
        <v>22</v>
      </c>
      <c r="K16" s="42"/>
      <c r="L16" s="11">
        <v>0</v>
      </c>
      <c r="M16" s="11">
        <v>4.4000000000000004</v>
      </c>
      <c r="N16" s="11">
        <v>6.8</v>
      </c>
      <c r="O16" s="11">
        <v>0</v>
      </c>
      <c r="P16" s="37"/>
      <c r="Q16" s="163">
        <f>L16*$J$16</f>
        <v>0</v>
      </c>
      <c r="R16" s="163">
        <f>M16*$J$16</f>
        <v>96.800000000000011</v>
      </c>
      <c r="S16" s="163">
        <f>N16*$J$16</f>
        <v>149.6</v>
      </c>
      <c r="T16" s="163">
        <f>O16*$J$16</f>
        <v>0</v>
      </c>
    </row>
    <row r="17" spans="1:20">
      <c r="A17" s="10" t="s">
        <v>171</v>
      </c>
      <c r="B17" s="27"/>
      <c r="C17" s="8"/>
      <c r="D17" s="8"/>
      <c r="E17" s="121" t="s">
        <v>263</v>
      </c>
      <c r="F17" s="53" t="s">
        <v>262</v>
      </c>
      <c r="H17" s="35"/>
      <c r="I17" s="40" t="s">
        <v>172</v>
      </c>
      <c r="J17" s="11">
        <v>16</v>
      </c>
      <c r="K17" s="42"/>
      <c r="L17" s="11">
        <v>0</v>
      </c>
      <c r="M17" s="11">
        <v>9.1</v>
      </c>
      <c r="N17" s="11">
        <v>0</v>
      </c>
      <c r="O17" s="11">
        <v>1.4</v>
      </c>
      <c r="P17" s="37"/>
      <c r="Q17" s="163">
        <f>L17*$J$17</f>
        <v>0</v>
      </c>
      <c r="R17" s="163">
        <f>M17*$J$17</f>
        <v>145.6</v>
      </c>
      <c r="S17" s="163">
        <f>N17*$J$17</f>
        <v>0</v>
      </c>
      <c r="T17" s="163">
        <f>O17*$J$17</f>
        <v>22.4</v>
      </c>
    </row>
    <row r="18" spans="1:20">
      <c r="A18" s="10"/>
      <c r="B18" s="27"/>
      <c r="C18" s="8"/>
      <c r="D18" s="8"/>
      <c r="E18" s="32"/>
      <c r="F18" s="53" t="s">
        <v>261</v>
      </c>
      <c r="H18" s="35"/>
      <c r="I18" s="37"/>
      <c r="J18" s="43"/>
      <c r="K18" s="42"/>
      <c r="L18" s="43"/>
      <c r="M18" s="43"/>
      <c r="N18" s="43"/>
      <c r="O18" s="43"/>
      <c r="P18" s="37"/>
      <c r="Q18" s="163"/>
      <c r="R18" s="163"/>
      <c r="S18" s="163"/>
      <c r="T18" s="163"/>
    </row>
    <row r="19" spans="1:20">
      <c r="A19" s="10" t="s">
        <v>173</v>
      </c>
      <c r="B19" s="27"/>
      <c r="C19" s="8"/>
      <c r="D19" s="8"/>
      <c r="E19" s="161">
        <f>IF(E17="Кукурузный силос",T44,IF(E17="Сено 1 Силос",Q44, IF(E17="Сено 2 Силос",R44,IF(E17="Сено 3 Силос", S44,IF(E17="Мой Силос",F21)))))</f>
        <v>2721</v>
      </c>
      <c r="F19" s="54" t="str">
        <f>IF(E17="Мой силос", " ", "Из калькулятора сухого вещества силоса")</f>
        <v xml:space="preserve"> </v>
      </c>
      <c r="G19" s="55"/>
      <c r="H19" s="35"/>
      <c r="I19" s="37" t="s">
        <v>174</v>
      </c>
      <c r="J19" s="11">
        <v>20</v>
      </c>
      <c r="K19" s="202">
        <f>J19</f>
        <v>20</v>
      </c>
      <c r="L19" s="11">
        <v>6.8</v>
      </c>
      <c r="M19" s="11">
        <v>4.5</v>
      </c>
      <c r="N19" s="11">
        <v>0</v>
      </c>
      <c r="O19" s="11">
        <v>1.4</v>
      </c>
      <c r="P19" s="37"/>
      <c r="Q19" s="163">
        <f>L19*$J$19</f>
        <v>136</v>
      </c>
      <c r="R19" s="163">
        <f>M19*$J$19</f>
        <v>90</v>
      </c>
      <c r="S19" s="163">
        <f>N19*$J$19</f>
        <v>0</v>
      </c>
      <c r="T19" s="163">
        <f>O19*$J$19</f>
        <v>28</v>
      </c>
    </row>
    <row r="20" spans="1:20">
      <c r="A20" s="48" t="s">
        <v>175</v>
      </c>
      <c r="B20" s="27"/>
      <c r="C20" s="8"/>
      <c r="D20" s="8"/>
      <c r="E20" s="32"/>
      <c r="F20" s="54" t="str">
        <f>IF(E17="Мой силос", " ", "Таблица, строка 44")</f>
        <v xml:space="preserve"> </v>
      </c>
      <c r="G20" s="55"/>
      <c r="H20" s="35"/>
      <c r="I20" s="37"/>
      <c r="J20" s="43"/>
      <c r="K20" s="202"/>
      <c r="L20" s="43"/>
      <c r="M20" s="43"/>
      <c r="N20" s="43"/>
      <c r="O20" s="43"/>
      <c r="P20" s="37"/>
      <c r="Q20" s="163"/>
      <c r="R20" s="163"/>
      <c r="S20" s="163"/>
      <c r="T20" s="163"/>
    </row>
    <row r="21" spans="1:20">
      <c r="A21" s="59" t="str">
        <f>IF(E17="Мой силос", "Мой силос, если не из Калькулятора сухого вещества силоса (Строка 44) (потребление СВ, кг/ стадо/ день)  =", "  ")</f>
        <v>Мой силос, если не из Калькулятора сухого вещества силоса (Строка 44) (потребление СВ, кг/ стадо/ день)  =</v>
      </c>
      <c r="B21" s="27"/>
      <c r="C21" s="8"/>
      <c r="D21" s="8"/>
      <c r="E21" s="32"/>
      <c r="F21" s="63">
        <v>2721</v>
      </c>
      <c r="G21" s="58" t="str">
        <f>IF(E17="Мой силос","Мой силос","   ")</f>
        <v>Мой силос</v>
      </c>
      <c r="H21" s="35"/>
      <c r="I21" s="37" t="s">
        <v>176</v>
      </c>
      <c r="J21" s="11">
        <v>6</v>
      </c>
      <c r="K21" s="202">
        <f>J21</f>
        <v>6</v>
      </c>
      <c r="L21" s="11">
        <v>4.5</v>
      </c>
      <c r="M21" s="11">
        <v>2.2999999999999998</v>
      </c>
      <c r="N21" s="11">
        <v>0</v>
      </c>
      <c r="O21" s="11">
        <v>4.5</v>
      </c>
      <c r="P21" s="37"/>
      <c r="Q21" s="163">
        <f>L21*$J21</f>
        <v>27</v>
      </c>
      <c r="R21" s="163">
        <f>M21*$J21</f>
        <v>13.799999999999999</v>
      </c>
      <c r="S21" s="163">
        <f>N21*$J21</f>
        <v>0</v>
      </c>
      <c r="T21" s="163">
        <f>O21*$J21</f>
        <v>27</v>
      </c>
    </row>
    <row r="22" spans="1:20">
      <c r="A22" s="10" t="s">
        <v>177</v>
      </c>
      <c r="B22" s="27"/>
      <c r="C22" s="8"/>
      <c r="D22" s="8"/>
      <c r="E22" s="12">
        <v>10</v>
      </c>
      <c r="F22" s="9"/>
      <c r="G22" s="35"/>
      <c r="H22" s="35"/>
      <c r="I22" s="37"/>
      <c r="J22" s="43"/>
      <c r="K22" s="202"/>
      <c r="L22" s="43"/>
      <c r="M22" s="43"/>
      <c r="N22" s="43"/>
      <c r="O22" s="43"/>
      <c r="P22" s="37"/>
      <c r="Q22" s="163"/>
      <c r="R22" s="163"/>
      <c r="S22" s="163"/>
      <c r="T22" s="163"/>
    </row>
    <row r="23" spans="1:20">
      <c r="A23" s="10" t="s">
        <v>178</v>
      </c>
      <c r="B23" s="27"/>
      <c r="C23" s="8"/>
      <c r="D23" s="8"/>
      <c r="E23" s="32"/>
      <c r="F23" s="9"/>
      <c r="G23" s="35"/>
      <c r="H23" s="35"/>
      <c r="I23" s="37" t="s">
        <v>179</v>
      </c>
      <c r="J23" s="11">
        <v>110</v>
      </c>
      <c r="K23" s="202">
        <f>J23</f>
        <v>110</v>
      </c>
      <c r="L23" s="11">
        <v>4.5</v>
      </c>
      <c r="M23" s="11">
        <v>0</v>
      </c>
      <c r="N23" s="11">
        <v>0</v>
      </c>
      <c r="O23" s="11">
        <v>6.8</v>
      </c>
      <c r="P23" s="37"/>
      <c r="Q23" s="163">
        <f>L23*$J$23</f>
        <v>495</v>
      </c>
      <c r="R23" s="163">
        <f>M23*$J$23</f>
        <v>0</v>
      </c>
      <c r="S23" s="163">
        <f>N23*$J$23</f>
        <v>0</v>
      </c>
      <c r="T23" s="163">
        <f>O23*$J$23</f>
        <v>748</v>
      </c>
    </row>
    <row r="24" spans="1:20">
      <c r="A24" s="10"/>
      <c r="B24" s="27"/>
      <c r="C24" s="8"/>
      <c r="D24" s="8"/>
      <c r="E24" s="32"/>
      <c r="F24" s="9"/>
      <c r="G24" s="185" t="s">
        <v>334</v>
      </c>
      <c r="H24" s="191">
        <f>E32*39.37</f>
        <v>11.810999999999998</v>
      </c>
      <c r="I24" s="37"/>
      <c r="J24" s="200"/>
      <c r="K24" s="202"/>
      <c r="L24" s="200"/>
      <c r="M24" s="200"/>
      <c r="N24" s="200"/>
      <c r="O24" s="200"/>
      <c r="P24" s="37"/>
      <c r="Q24" s="163"/>
      <c r="R24" s="163"/>
      <c r="S24" s="163"/>
      <c r="T24" s="163"/>
    </row>
    <row r="25" spans="1:20">
      <c r="A25" s="10" t="s">
        <v>180</v>
      </c>
      <c r="B25" s="27"/>
      <c r="C25" s="8"/>
      <c r="D25" s="8"/>
      <c r="E25" s="12">
        <v>5</v>
      </c>
      <c r="F25" s="9"/>
      <c r="G25" s="185" t="s">
        <v>335</v>
      </c>
      <c r="H25" s="191">
        <f>E28*0.062</f>
        <v>43.71</v>
      </c>
      <c r="I25" s="37" t="s">
        <v>181</v>
      </c>
      <c r="J25" s="200"/>
      <c r="K25" s="202">
        <f>SUM(J26:J28)</f>
        <v>226</v>
      </c>
      <c r="L25" s="200"/>
      <c r="M25" s="200"/>
      <c r="N25" s="200"/>
      <c r="O25" s="200"/>
      <c r="P25" s="37"/>
      <c r="Q25" s="163"/>
      <c r="R25" s="163"/>
      <c r="S25" s="163"/>
      <c r="T25" s="163"/>
    </row>
    <row r="26" spans="1:20">
      <c r="A26" s="10" t="s">
        <v>182</v>
      </c>
      <c r="B26" s="27"/>
      <c r="C26" s="8"/>
      <c r="D26" s="8"/>
      <c r="E26" s="32"/>
      <c r="F26" s="9"/>
      <c r="G26" s="185" t="s">
        <v>336</v>
      </c>
      <c r="H26" s="191">
        <f>100-E30</f>
        <v>33</v>
      </c>
      <c r="I26" s="40" t="s">
        <v>183</v>
      </c>
      <c r="J26" s="11">
        <v>90</v>
      </c>
      <c r="K26" s="42"/>
      <c r="L26" s="11">
        <v>4.5</v>
      </c>
      <c r="M26" s="11">
        <v>0</v>
      </c>
      <c r="N26" s="11">
        <v>0</v>
      </c>
      <c r="O26" s="11">
        <v>6.8</v>
      </c>
      <c r="P26" s="37"/>
      <c r="Q26" s="163">
        <f>L26*$J$26</f>
        <v>405</v>
      </c>
      <c r="R26" s="163">
        <f>M26*$J$26</f>
        <v>0</v>
      </c>
      <c r="S26" s="163">
        <f>N26*$J$26</f>
        <v>0</v>
      </c>
      <c r="T26" s="163">
        <f>O26*$J$26</f>
        <v>612</v>
      </c>
    </row>
    <row r="27" spans="1:20">
      <c r="A27" s="10"/>
      <c r="B27" s="27"/>
      <c r="C27" s="8"/>
      <c r="D27" s="8"/>
      <c r="E27" s="32"/>
      <c r="F27" s="9"/>
      <c r="G27" s="185" t="s">
        <v>337</v>
      </c>
      <c r="H27" s="191">
        <f>H25*H26/100</f>
        <v>14.424300000000001</v>
      </c>
      <c r="I27" s="40" t="s">
        <v>184</v>
      </c>
      <c r="J27" s="11">
        <v>68</v>
      </c>
      <c r="K27" s="42"/>
      <c r="L27" s="11">
        <v>6.8</v>
      </c>
      <c r="M27" s="11">
        <v>2.2999999999999998</v>
      </c>
      <c r="N27" s="11">
        <v>0</v>
      </c>
      <c r="O27" s="11">
        <v>4.5</v>
      </c>
      <c r="P27" s="37"/>
      <c r="Q27" s="163">
        <f>L27*$J$27</f>
        <v>462.4</v>
      </c>
      <c r="R27" s="163">
        <f>M27*$J$27</f>
        <v>156.39999999999998</v>
      </c>
      <c r="S27" s="163">
        <f>N27*$J$27</f>
        <v>0</v>
      </c>
      <c r="T27" s="163">
        <f>O27*$J$27</f>
        <v>306</v>
      </c>
    </row>
    <row r="28" spans="1:20">
      <c r="A28" s="10" t="s">
        <v>185</v>
      </c>
      <c r="B28" s="27"/>
      <c r="C28" s="8"/>
      <c r="D28" s="8"/>
      <c r="E28" s="12">
        <v>705</v>
      </c>
      <c r="F28" s="9"/>
      <c r="G28" s="185" t="s">
        <v>338</v>
      </c>
      <c r="H28" s="191">
        <f>100*(1-(H27/(62.4*1.5)+(H25-H27)/62.4))</f>
        <v>37.657211538461532</v>
      </c>
      <c r="I28" s="40" t="s">
        <v>186</v>
      </c>
      <c r="J28" s="11">
        <v>68</v>
      </c>
      <c r="K28" s="42"/>
      <c r="L28" s="11">
        <v>4.5</v>
      </c>
      <c r="M28" s="11">
        <v>4.5</v>
      </c>
      <c r="N28" s="11">
        <v>0</v>
      </c>
      <c r="O28" s="11">
        <v>4.5</v>
      </c>
      <c r="P28" s="37"/>
      <c r="Q28" s="163">
        <f>L28*$J$28</f>
        <v>306</v>
      </c>
      <c r="R28" s="163">
        <f>M28*$J$28</f>
        <v>306</v>
      </c>
      <c r="S28" s="163">
        <f>N28*$J$28</f>
        <v>0</v>
      </c>
      <c r="T28" s="163">
        <f>O28*$J$28</f>
        <v>306</v>
      </c>
    </row>
    <row r="29" spans="1:20">
      <c r="A29" s="10"/>
      <c r="B29" s="27"/>
      <c r="C29" s="8"/>
      <c r="D29" s="8"/>
      <c r="E29" s="32"/>
      <c r="F29" s="9"/>
      <c r="G29" s="185" t="s">
        <v>340</v>
      </c>
      <c r="H29" s="191">
        <f>40*H26/100</f>
        <v>13.2</v>
      </c>
      <c r="I29" s="37"/>
      <c r="J29" s="200"/>
      <c r="K29" s="202"/>
      <c r="L29" s="200"/>
      <c r="M29" s="200"/>
      <c r="N29" s="200"/>
      <c r="O29" s="200"/>
      <c r="P29" s="37"/>
      <c r="Q29" s="163"/>
      <c r="R29" s="163"/>
      <c r="S29" s="163"/>
      <c r="T29" s="163"/>
    </row>
    <row r="30" spans="1:20">
      <c r="A30" s="10" t="s">
        <v>226</v>
      </c>
      <c r="B30" s="27"/>
      <c r="C30" s="8"/>
      <c r="D30" s="8"/>
      <c r="E30" s="12">
        <v>67</v>
      </c>
      <c r="F30" s="9"/>
      <c r="G30" s="185" t="s">
        <v>339</v>
      </c>
      <c r="H30" s="191">
        <f>100*(1-(H29/(62.4*1.5)+(40-H29)/62.4))</f>
        <v>42.948717948717949</v>
      </c>
      <c r="I30" s="37" t="s">
        <v>187</v>
      </c>
      <c r="J30" s="11">
        <v>10</v>
      </c>
      <c r="K30" s="203">
        <f>J30</f>
        <v>10</v>
      </c>
      <c r="L30" s="11">
        <v>11.4</v>
      </c>
      <c r="M30" s="11">
        <v>2.2999999999999998</v>
      </c>
      <c r="N30" s="11">
        <v>0</v>
      </c>
      <c r="O30" s="11">
        <v>2.2999999999999998</v>
      </c>
      <c r="P30" s="37"/>
      <c r="Q30" s="163">
        <f>L30*$J$30</f>
        <v>114</v>
      </c>
      <c r="R30" s="163">
        <f>M30*$J$30</f>
        <v>23</v>
      </c>
      <c r="S30" s="163">
        <f>N30*$J$30</f>
        <v>0</v>
      </c>
      <c r="T30" s="163">
        <f>O30*$J$30</f>
        <v>23</v>
      </c>
    </row>
    <row r="31" spans="1:20">
      <c r="A31" s="10"/>
      <c r="B31" s="27"/>
      <c r="C31" s="8"/>
      <c r="D31" s="8"/>
      <c r="E31" s="32"/>
      <c r="F31" s="9"/>
      <c r="G31" s="188"/>
      <c r="H31" s="194"/>
      <c r="I31" s="38" t="s">
        <v>39</v>
      </c>
      <c r="J31" s="201" t="s">
        <v>39</v>
      </c>
      <c r="K31" s="206" t="s">
        <v>39</v>
      </c>
      <c r="L31" s="201" t="s">
        <v>39</v>
      </c>
      <c r="M31" s="201" t="s">
        <v>39</v>
      </c>
      <c r="N31" s="201" t="s">
        <v>39</v>
      </c>
      <c r="O31" s="201" t="s">
        <v>39</v>
      </c>
      <c r="P31" s="38" t="s">
        <v>39</v>
      </c>
      <c r="Q31" s="38" t="s">
        <v>39</v>
      </c>
      <c r="R31" s="38" t="s">
        <v>39</v>
      </c>
      <c r="S31" s="38" t="s">
        <v>39</v>
      </c>
      <c r="T31" s="38" t="s">
        <v>39</v>
      </c>
    </row>
    <row r="32" spans="1:20">
      <c r="A32" s="10" t="s">
        <v>188</v>
      </c>
      <c r="B32" s="27"/>
      <c r="C32" s="8"/>
      <c r="D32" s="8"/>
      <c r="E32" s="62">
        <v>0.3</v>
      </c>
      <c r="F32" s="9"/>
      <c r="G32" s="189">
        <f>(3+((H26-35)/100))*(H28/H30)*(6/H24)</f>
        <v>1.3273296585399141</v>
      </c>
      <c r="H32" s="188"/>
      <c r="I32" s="37" t="s">
        <v>189</v>
      </c>
      <c r="J32" s="200" t="s">
        <v>161</v>
      </c>
      <c r="K32" s="202">
        <f>SUM(K12:K30)</f>
        <v>440</v>
      </c>
      <c r="L32" s="200"/>
      <c r="M32" s="200"/>
      <c r="N32" s="200"/>
      <c r="O32" s="200"/>
      <c r="P32" s="37"/>
      <c r="Q32" s="37"/>
      <c r="R32" s="37"/>
      <c r="S32" s="37"/>
      <c r="T32" s="37"/>
    </row>
    <row r="33" spans="1:20">
      <c r="A33" s="10"/>
      <c r="B33" s="27"/>
      <c r="C33" s="8"/>
      <c r="D33" s="8"/>
      <c r="E33" s="32"/>
      <c r="F33" s="9"/>
      <c r="G33" s="78"/>
      <c r="H33" s="78"/>
      <c r="I33" s="41"/>
      <c r="J33" s="200"/>
      <c r="K33" s="202"/>
      <c r="L33" s="200"/>
      <c r="M33" s="200"/>
      <c r="N33" s="200"/>
      <c r="O33" s="200"/>
      <c r="P33" s="37"/>
      <c r="Q33" s="37"/>
      <c r="R33" s="37"/>
      <c r="S33" s="37"/>
      <c r="T33" s="37"/>
    </row>
    <row r="34" spans="1:20">
      <c r="A34" s="10" t="s">
        <v>225</v>
      </c>
      <c r="B34" s="27"/>
      <c r="C34" s="8"/>
      <c r="D34" s="8"/>
      <c r="E34" s="12">
        <v>360</v>
      </c>
      <c r="F34" s="9"/>
      <c r="G34" s="35"/>
      <c r="H34" s="35"/>
      <c r="I34" s="37" t="s">
        <v>190</v>
      </c>
      <c r="J34" s="200"/>
      <c r="K34" s="202"/>
      <c r="L34" s="200"/>
      <c r="M34" s="200"/>
      <c r="N34" s="200"/>
      <c r="O34" s="200"/>
      <c r="P34" s="37"/>
      <c r="Q34" s="37"/>
      <c r="R34" s="37"/>
      <c r="S34" s="37"/>
      <c r="T34" s="37"/>
    </row>
    <row r="35" spans="1:20">
      <c r="A35" s="10"/>
      <c r="B35" s="27"/>
      <c r="C35" s="8"/>
      <c r="D35" s="8"/>
      <c r="E35" s="32"/>
      <c r="F35" s="9"/>
      <c r="G35" s="35"/>
      <c r="H35" s="35"/>
      <c r="I35" s="40" t="s">
        <v>191</v>
      </c>
      <c r="J35" s="11">
        <v>48</v>
      </c>
      <c r="K35" s="42"/>
      <c r="L35" s="11">
        <v>1.4</v>
      </c>
      <c r="M35" s="11">
        <v>0</v>
      </c>
      <c r="N35" s="11">
        <v>0</v>
      </c>
      <c r="O35" s="11">
        <v>0.9</v>
      </c>
      <c r="P35" s="37"/>
      <c r="Q35" s="163">
        <f>L35*$J$35</f>
        <v>67.199999999999989</v>
      </c>
      <c r="R35" s="163">
        <f>M35*$J$35</f>
        <v>0</v>
      </c>
      <c r="S35" s="163">
        <f>N35*$J$35</f>
        <v>0</v>
      </c>
      <c r="T35" s="163">
        <f>O35*$J$35</f>
        <v>43.2</v>
      </c>
    </row>
    <row r="36" spans="1:20">
      <c r="A36" s="10" t="s">
        <v>192</v>
      </c>
      <c r="B36" s="27"/>
      <c r="C36" s="8"/>
      <c r="D36" s="8"/>
      <c r="E36" s="12">
        <v>46</v>
      </c>
      <c r="F36" s="9"/>
      <c r="G36" s="35"/>
      <c r="H36" s="35"/>
      <c r="I36" s="40" t="s">
        <v>193</v>
      </c>
      <c r="J36" s="11">
        <v>48</v>
      </c>
      <c r="K36" s="42"/>
      <c r="L36" s="11">
        <v>2.2999999999999998</v>
      </c>
      <c r="M36" s="11">
        <v>0</v>
      </c>
      <c r="N36" s="11">
        <v>0</v>
      </c>
      <c r="O36" s="11">
        <v>1.4</v>
      </c>
      <c r="P36" s="37"/>
      <c r="Q36" s="163">
        <f>L36*$J$36</f>
        <v>110.39999999999999</v>
      </c>
      <c r="R36" s="163">
        <f>M36*$J$36</f>
        <v>0</v>
      </c>
      <c r="S36" s="163">
        <f>N36*$J$36</f>
        <v>0</v>
      </c>
      <c r="T36" s="163">
        <f>O36*$J$36</f>
        <v>67.199999999999989</v>
      </c>
    </row>
    <row r="37" spans="1:20">
      <c r="A37" s="10" t="s">
        <v>194</v>
      </c>
      <c r="B37" s="27"/>
      <c r="C37" s="8"/>
      <c r="D37" s="8"/>
      <c r="E37" s="9"/>
      <c r="F37" s="9"/>
      <c r="G37" s="35"/>
      <c r="H37" s="35"/>
      <c r="I37" s="40" t="s">
        <v>195</v>
      </c>
      <c r="J37" s="11">
        <v>72</v>
      </c>
      <c r="K37" s="42"/>
      <c r="L37" s="11">
        <v>1.8</v>
      </c>
      <c r="M37" s="11">
        <v>0.9</v>
      </c>
      <c r="N37" s="11">
        <v>0</v>
      </c>
      <c r="O37" s="11">
        <v>2.2999999999999998</v>
      </c>
      <c r="P37" s="37"/>
      <c r="Q37" s="163">
        <f>L37*$J$37</f>
        <v>129.6</v>
      </c>
      <c r="R37" s="163">
        <f>M37*$J$37</f>
        <v>64.8</v>
      </c>
      <c r="S37" s="163">
        <f>N37*$J$37</f>
        <v>0</v>
      </c>
      <c r="T37" s="163">
        <f>O37*$J$37</f>
        <v>165.6</v>
      </c>
    </row>
    <row r="38" spans="1:20">
      <c r="A38" s="33" t="s">
        <v>344</v>
      </c>
      <c r="B38" s="28"/>
      <c r="C38" s="28"/>
      <c r="D38" s="28"/>
      <c r="E38" s="28"/>
      <c r="F38" s="28"/>
      <c r="G38" s="34"/>
      <c r="H38" s="35"/>
      <c r="I38" s="40" t="s">
        <v>196</v>
      </c>
      <c r="J38" s="11">
        <v>48</v>
      </c>
      <c r="K38" s="42"/>
      <c r="L38" s="11">
        <v>1.8</v>
      </c>
      <c r="M38" s="11">
        <v>1.8</v>
      </c>
      <c r="N38" s="11">
        <v>0</v>
      </c>
      <c r="O38" s="11">
        <v>2.7</v>
      </c>
      <c r="P38" s="37"/>
      <c r="Q38" s="163">
        <f>L38*$J$38</f>
        <v>86.4</v>
      </c>
      <c r="R38" s="163">
        <f>M38*$J$38</f>
        <v>86.4</v>
      </c>
      <c r="S38" s="163">
        <f>N38*$J$38</f>
        <v>0</v>
      </c>
      <c r="T38" s="163">
        <f>O38*$J$38</f>
        <v>129.60000000000002</v>
      </c>
    </row>
    <row r="39" spans="1:20">
      <c r="H39" s="35"/>
      <c r="I39" s="40" t="s">
        <v>197</v>
      </c>
      <c r="J39" s="11">
        <v>156</v>
      </c>
      <c r="K39" s="42"/>
      <c r="L39" s="11">
        <v>3.2</v>
      </c>
      <c r="M39" s="11">
        <v>1.8</v>
      </c>
      <c r="N39" s="11">
        <v>0</v>
      </c>
      <c r="O39" s="11">
        <v>4.0999999999999996</v>
      </c>
      <c r="P39" s="37"/>
      <c r="Q39" s="163">
        <f>L39*$J$39</f>
        <v>499.20000000000005</v>
      </c>
      <c r="R39" s="163">
        <f>M39*$J$39</f>
        <v>280.8</v>
      </c>
      <c r="S39" s="163">
        <f>N39*$J$39</f>
        <v>0</v>
      </c>
      <c r="T39" s="163">
        <f>O39*$J$39</f>
        <v>639.59999999999991</v>
      </c>
    </row>
    <row r="40" spans="1:20">
      <c r="A40" s="13" t="s">
        <v>198</v>
      </c>
      <c r="B40" s="14"/>
      <c r="C40" s="15"/>
      <c r="D40" s="15"/>
      <c r="E40" s="16"/>
      <c r="F40" s="16"/>
      <c r="G40" s="17"/>
      <c r="H40" s="35"/>
      <c r="I40" s="38" t="s">
        <v>5</v>
      </c>
      <c r="J40" s="38" t="s">
        <v>5</v>
      </c>
      <c r="K40" s="206" t="s">
        <v>5</v>
      </c>
      <c r="L40" s="38" t="s">
        <v>5</v>
      </c>
      <c r="M40" s="38" t="s">
        <v>5</v>
      </c>
      <c r="N40" s="38" t="s">
        <v>5</v>
      </c>
      <c r="O40" s="38" t="s">
        <v>5</v>
      </c>
      <c r="P40" s="38" t="s">
        <v>5</v>
      </c>
      <c r="Q40" s="38" t="s">
        <v>5</v>
      </c>
      <c r="R40" s="38" t="s">
        <v>5</v>
      </c>
      <c r="S40" s="38" t="s">
        <v>5</v>
      </c>
      <c r="T40" s="38" t="s">
        <v>5</v>
      </c>
    </row>
    <row r="41" spans="1:20">
      <c r="A41" s="18" t="s">
        <v>5</v>
      </c>
      <c r="B41" s="19" t="s">
        <v>5</v>
      </c>
      <c r="C41" s="20" t="s">
        <v>5</v>
      </c>
      <c r="D41" s="20" t="s">
        <v>5</v>
      </c>
      <c r="E41" s="21" t="s">
        <v>5</v>
      </c>
      <c r="F41" s="21" t="s">
        <v>5</v>
      </c>
      <c r="G41" s="18" t="s">
        <v>5</v>
      </c>
      <c r="H41" s="35"/>
      <c r="I41" s="37" t="s">
        <v>199</v>
      </c>
      <c r="J41" s="37" t="s">
        <v>161</v>
      </c>
      <c r="K41" s="202">
        <f>SUM(J35:J39)</f>
        <v>372</v>
      </c>
      <c r="L41" s="37"/>
      <c r="M41" s="37"/>
      <c r="N41" s="37"/>
      <c r="O41" s="37"/>
      <c r="P41" s="37"/>
      <c r="Q41" s="37"/>
      <c r="R41" s="37"/>
      <c r="S41" s="37"/>
      <c r="T41" s="37"/>
    </row>
    <row r="42" spans="1:20">
      <c r="A42" s="13"/>
      <c r="B42" s="67" t="s">
        <v>200</v>
      </c>
      <c r="C42" s="68" t="s">
        <v>201</v>
      </c>
      <c r="D42" s="68" t="s">
        <v>202</v>
      </c>
      <c r="E42" s="69" t="s">
        <v>203</v>
      </c>
      <c r="F42" s="69" t="s">
        <v>204</v>
      </c>
      <c r="G42" s="13"/>
      <c r="H42" s="35"/>
      <c r="I42" s="37"/>
      <c r="J42" s="37"/>
      <c r="K42" s="202"/>
      <c r="L42" s="37"/>
      <c r="M42" s="37"/>
      <c r="N42" s="37"/>
      <c r="O42" s="37"/>
      <c r="P42" s="37"/>
      <c r="Q42" s="37"/>
      <c r="R42" s="37"/>
      <c r="S42" s="37"/>
      <c r="T42" s="37"/>
    </row>
    <row r="43" spans="1:20">
      <c r="A43" s="13" t="s">
        <v>205</v>
      </c>
      <c r="B43" s="70" t="s">
        <v>206</v>
      </c>
      <c r="C43" s="71"/>
      <c r="D43" s="68" t="s">
        <v>207</v>
      </c>
      <c r="E43" s="69" t="s">
        <v>208</v>
      </c>
      <c r="F43" s="69" t="s">
        <v>209</v>
      </c>
      <c r="G43" s="67" t="s">
        <v>210</v>
      </c>
      <c r="H43" s="35"/>
      <c r="I43" s="37"/>
      <c r="J43" s="37"/>
      <c r="K43" s="202"/>
      <c r="L43" s="37"/>
      <c r="M43" s="37"/>
      <c r="N43" s="37"/>
      <c r="O43" s="37"/>
      <c r="P43" s="37"/>
      <c r="Q43" s="37"/>
      <c r="R43" s="37"/>
      <c r="S43" s="37"/>
      <c r="T43" s="37"/>
    </row>
    <row r="44" spans="1:20">
      <c r="A44" s="13" t="s">
        <v>211</v>
      </c>
      <c r="B44" s="70" t="s">
        <v>207</v>
      </c>
      <c r="C44" s="68" t="s">
        <v>212</v>
      </c>
      <c r="D44" s="68"/>
      <c r="E44" s="69" t="s">
        <v>213</v>
      </c>
      <c r="F44" s="72" t="s">
        <v>214</v>
      </c>
      <c r="G44" s="13"/>
      <c r="H44" s="35"/>
      <c r="I44" s="37"/>
      <c r="J44" s="37"/>
      <c r="K44" s="37"/>
      <c r="L44" s="37"/>
      <c r="M44" s="37"/>
      <c r="N44" s="49" t="s">
        <v>215</v>
      </c>
      <c r="O44" s="51"/>
      <c r="P44" s="37"/>
      <c r="Q44" s="36">
        <f>SUM(Q14:Q39)</f>
        <v>2838.2</v>
      </c>
      <c r="R44" s="36">
        <f>SUM(R14:R39)</f>
        <v>1362.6</v>
      </c>
      <c r="S44" s="36">
        <f>SUM(S14:S39)</f>
        <v>372</v>
      </c>
      <c r="T44" s="36">
        <f>SUM(T14:T39)</f>
        <v>3117.5999999999995</v>
      </c>
    </row>
    <row r="45" spans="1:20">
      <c r="A45" s="13"/>
      <c r="B45" s="70"/>
      <c r="C45" s="67" t="s">
        <v>216</v>
      </c>
      <c r="D45" s="68" t="s">
        <v>217</v>
      </c>
      <c r="E45" s="69" t="s">
        <v>218</v>
      </c>
      <c r="F45" s="72" t="s">
        <v>219</v>
      </c>
      <c r="G45" s="13"/>
      <c r="H45" s="35"/>
      <c r="P45" s="45"/>
    </row>
    <row r="46" spans="1:20">
      <c r="A46" s="67" t="s">
        <v>220</v>
      </c>
      <c r="B46" s="70" t="s">
        <v>220</v>
      </c>
      <c r="C46" s="68"/>
      <c r="D46" s="68" t="s">
        <v>221</v>
      </c>
      <c r="E46" s="69" t="s">
        <v>222</v>
      </c>
      <c r="F46" s="69" t="s">
        <v>222</v>
      </c>
      <c r="G46" s="67" t="s">
        <v>72</v>
      </c>
      <c r="H46" s="35"/>
    </row>
    <row r="47" spans="1:20">
      <c r="A47" s="18" t="s">
        <v>5</v>
      </c>
      <c r="B47" s="19" t="s">
        <v>5</v>
      </c>
      <c r="C47" s="20" t="s">
        <v>5</v>
      </c>
      <c r="D47" s="20" t="s">
        <v>5</v>
      </c>
      <c r="E47" s="21" t="s">
        <v>5</v>
      </c>
      <c r="F47" s="21" t="s">
        <v>5</v>
      </c>
      <c r="G47" s="18" t="s">
        <v>5</v>
      </c>
      <c r="H47" s="35"/>
    </row>
    <row r="48" spans="1:20">
      <c r="A48" s="17">
        <v>1.5</v>
      </c>
      <c r="B48" s="103">
        <f>IF(($E$19)/($E$32*$A48*$E$28*(1-($E$30/100)))&lt;2*$E$15,"Не использовать",($E$19)/($E$32*$A48*$E$28*(1-($E$30/100))))</f>
        <v>25.990400458485574</v>
      </c>
      <c r="C48" s="93">
        <f>IF(B48="Не использовать","Не использовать",ROUND(((+$E$32)*($E$34/($E$36-$A48*3))+0.4),0))</f>
        <v>3</v>
      </c>
      <c r="D48" s="105">
        <f>IF(B48="Не использовать","Не использовать",((($E$19*$E$34/(1-($E$22+$E$25+$G$32)/100))/($E$28*(1-($E$30/100)))/($C48*($B48*$A48))+3*$A48)))</f>
        <v>47.52480111258248</v>
      </c>
      <c r="E48" s="22">
        <f>IF(B48="Не использовать","Не использовать",($E$19/(1-($E$22+$E$25+$G$32)/100)*($E$34/1000)*(1+0.0225*($B48/$I$53-1))))</f>
        <v>1208.6356750334269</v>
      </c>
      <c r="F48" s="22">
        <f>IF(B48="Не использовать","Не использовать",+$E48*($E$22+$E$25+$G$32+2.25*($B48/$I$53-1))/100)</f>
        <v>236.49772690450985</v>
      </c>
      <c r="G48" s="22">
        <f>IF(B48="Не использовать","Не использовать",($F48/$E48)*100)</f>
        <v>19.567329658539915</v>
      </c>
      <c r="H48" s="86"/>
    </row>
    <row r="49" spans="1:9">
      <c r="A49" s="17">
        <v>2</v>
      </c>
      <c r="B49" s="103">
        <f t="shared" ref="B49:B61" si="0">IF(($E$19)/($E$32*$A49*$E$28*(1-($E$30/100)))&lt;2*$E$15,"Не использовать",($E$19)/($E$32*$A49*$E$28*(1-($E$30/100))))</f>
        <v>19.492800343864179</v>
      </c>
      <c r="C49" s="93">
        <f t="shared" ref="C49:C61" si="1">IF(B49="Не использовать","Не использовать",ROUND(((+$E$32)*($E$34/($E$36-$A49*3))+0.4),0))</f>
        <v>3</v>
      </c>
      <c r="D49" s="105">
        <f t="shared" ref="D49:D61" si="2">IF(B49="Не использовать","Не использовать",((($E$19*$E$34/(1-($E$22+$E$25+$G$32)/100))/($E$28*(1-($E$30/100)))/($C49*($B49*$A49))+3*$A49)))</f>
        <v>49.024801112582487</v>
      </c>
      <c r="E49" s="22">
        <f t="shared" ref="E49:E61" si="3">IF(B49="Не использовать","Не использовать",($E$19/(1-($E$22+$E$25+$G$32)/100)*($E$34/1000)*(1+0.0225*($B49/$I$53-1))))</f>
        <v>1192.5677511281249</v>
      </c>
      <c r="F49" s="22">
        <f t="shared" ref="F49:F61" si="4">IF(B49="Не использовать","Не использовать",+$E49*($E$22+$E$25+$G$32+2.25*($B49/$I$53-1))/100)</f>
        <v>216.98567088044251</v>
      </c>
      <c r="G49" s="22">
        <f t="shared" ref="G49:G61" si="5">IF(B49="Не использовать","Не использовать",($F49/$E49)*100)</f>
        <v>18.194829658539913</v>
      </c>
      <c r="H49" s="86"/>
    </row>
    <row r="50" spans="1:9">
      <c r="A50" s="17">
        <v>2.5</v>
      </c>
      <c r="B50" s="103">
        <f t="shared" si="0"/>
        <v>15.594240275091341</v>
      </c>
      <c r="C50" s="93">
        <f t="shared" si="1"/>
        <v>3</v>
      </c>
      <c r="D50" s="105">
        <f t="shared" si="2"/>
        <v>50.524801112582495</v>
      </c>
      <c r="E50" s="22">
        <f t="shared" si="3"/>
        <v>1182.9269967849436</v>
      </c>
      <c r="F50" s="22">
        <f t="shared" si="4"/>
        <v>205.49014823137841</v>
      </c>
      <c r="G50" s="22">
        <f t="shared" si="5"/>
        <v>17.371329658539914</v>
      </c>
      <c r="H50" s="86"/>
    </row>
    <row r="51" spans="1:9">
      <c r="A51" s="24">
        <v>3</v>
      </c>
      <c r="B51" s="103">
        <f t="shared" si="0"/>
        <v>12.995200229242787</v>
      </c>
      <c r="C51" s="93">
        <f t="shared" si="1"/>
        <v>3</v>
      </c>
      <c r="D51" s="105">
        <f t="shared" si="2"/>
        <v>52.02480111258248</v>
      </c>
      <c r="E51" s="22">
        <f t="shared" si="3"/>
        <v>1176.4998272228229</v>
      </c>
      <c r="F51" s="22">
        <f t="shared" si="4"/>
        <v>197.91467936757579</v>
      </c>
      <c r="G51" s="22">
        <f t="shared" si="5"/>
        <v>16.822329658539914</v>
      </c>
      <c r="H51" s="87"/>
    </row>
    <row r="52" spans="1:9">
      <c r="A52" s="17">
        <v>3.5</v>
      </c>
      <c r="B52" s="103">
        <f t="shared" si="0"/>
        <v>11.138743053636672</v>
      </c>
      <c r="C52" s="93">
        <f t="shared" si="1"/>
        <v>3</v>
      </c>
      <c r="D52" s="105">
        <f t="shared" si="2"/>
        <v>53.524801112582495</v>
      </c>
      <c r="E52" s="22">
        <f t="shared" si="3"/>
        <v>1171.9089918213078</v>
      </c>
      <c r="F52" s="22">
        <f t="shared" si="4"/>
        <v>192.54683649860982</v>
      </c>
      <c r="G52" s="22">
        <f t="shared" si="5"/>
        <v>16.430186801397056</v>
      </c>
      <c r="H52" s="86"/>
    </row>
    <row r="53" spans="1:9">
      <c r="A53" s="25">
        <v>3.66</v>
      </c>
      <c r="B53" s="104">
        <f t="shared" si="0"/>
        <v>10.651803466592446</v>
      </c>
      <c r="C53" s="101">
        <f t="shared" si="1"/>
        <v>3</v>
      </c>
      <c r="D53" s="104">
        <f t="shared" si="2"/>
        <v>54.004801112582498</v>
      </c>
      <c r="E53" s="102">
        <f t="shared" si="3"/>
        <v>1170.7048382733697</v>
      </c>
      <c r="F53" s="102">
        <f t="shared" si="4"/>
        <v>191.1448382733696</v>
      </c>
      <c r="G53" s="102">
        <f t="shared" si="5"/>
        <v>16.327329658539913</v>
      </c>
      <c r="H53" s="88" t="s">
        <v>73</v>
      </c>
      <c r="I53" s="193">
        <f>($E$19)/($E$32*A53*$E$28*(1-($E$30/100)))</f>
        <v>10.651803466592446</v>
      </c>
    </row>
    <row r="54" spans="1:9">
      <c r="A54" s="17">
        <v>4</v>
      </c>
      <c r="B54" s="103">
        <f t="shared" si="0"/>
        <v>9.7464001719320894</v>
      </c>
      <c r="C54" s="93">
        <f t="shared" si="1"/>
        <v>4</v>
      </c>
      <c r="D54" s="105">
        <f t="shared" si="2"/>
        <v>44.268600834436867</v>
      </c>
      <c r="E54" s="22">
        <f t="shared" si="3"/>
        <v>1168.4658652701719</v>
      </c>
      <c r="F54" s="22">
        <f t="shared" si="4"/>
        <v>188.5445828028426</v>
      </c>
      <c r="G54" s="22">
        <f t="shared" si="5"/>
        <v>16.136079658539913</v>
      </c>
      <c r="H54" s="89"/>
    </row>
    <row r="55" spans="1:9">
      <c r="A55" s="17">
        <v>4.5</v>
      </c>
      <c r="B55" s="103">
        <f t="shared" si="0"/>
        <v>8.6634668194951896</v>
      </c>
      <c r="C55" s="93">
        <f t="shared" si="1"/>
        <v>4</v>
      </c>
      <c r="D55" s="105">
        <f t="shared" si="2"/>
        <v>45.768600834436867</v>
      </c>
      <c r="E55" s="22">
        <f t="shared" si="3"/>
        <v>1165.7878779526216</v>
      </c>
      <c r="F55" s="22">
        <f t="shared" si="4"/>
        <v>185.44572086522047</v>
      </c>
      <c r="G55" s="22">
        <f t="shared" si="5"/>
        <v>15.907329658539915</v>
      </c>
      <c r="H55" s="89"/>
    </row>
    <row r="56" spans="1:9">
      <c r="A56" s="17">
        <v>5</v>
      </c>
      <c r="B56" s="103">
        <f t="shared" si="0"/>
        <v>7.7971201375456705</v>
      </c>
      <c r="C56" s="93">
        <f t="shared" si="1"/>
        <v>4</v>
      </c>
      <c r="D56" s="105">
        <f t="shared" si="2"/>
        <v>47.268600834436867</v>
      </c>
      <c r="E56" s="22">
        <f t="shared" si="3"/>
        <v>1163.6454880985812</v>
      </c>
      <c r="F56" s="22">
        <f t="shared" si="4"/>
        <v>182.97545260534673</v>
      </c>
      <c r="G56" s="22">
        <f t="shared" si="5"/>
        <v>15.724329658539911</v>
      </c>
      <c r="H56" s="89"/>
    </row>
    <row r="57" spans="1:9">
      <c r="A57" s="17">
        <v>5.5</v>
      </c>
      <c r="B57" s="103">
        <f t="shared" si="0"/>
        <v>7.0882910341324274</v>
      </c>
      <c r="C57" s="93">
        <f t="shared" si="1"/>
        <v>4</v>
      </c>
      <c r="D57" s="105">
        <f t="shared" si="2"/>
        <v>48.768600834436867</v>
      </c>
      <c r="E57" s="22">
        <f t="shared" si="3"/>
        <v>1161.8926236725483</v>
      </c>
      <c r="F57" s="22">
        <f t="shared" si="4"/>
        <v>180.96015628708582</v>
      </c>
      <c r="G57" s="22">
        <f t="shared" si="5"/>
        <v>15.574602385812641</v>
      </c>
      <c r="H57" s="89"/>
    </row>
    <row r="58" spans="1:9">
      <c r="A58" s="17">
        <v>6</v>
      </c>
      <c r="B58" s="103">
        <f t="shared" si="0"/>
        <v>6.4976001146213935</v>
      </c>
      <c r="C58" s="93">
        <f t="shared" si="1"/>
        <v>4</v>
      </c>
      <c r="D58" s="105">
        <f t="shared" si="2"/>
        <v>50.26860083443686</v>
      </c>
      <c r="E58" s="22">
        <f t="shared" si="3"/>
        <v>1160.4319033175209</v>
      </c>
      <c r="F58" s="22">
        <f t="shared" si="4"/>
        <v>179.28475236590955</v>
      </c>
      <c r="G58" s="22">
        <f t="shared" si="5"/>
        <v>15.449829658539912</v>
      </c>
      <c r="H58" s="89"/>
    </row>
    <row r="59" spans="1:9">
      <c r="A59" s="17">
        <v>6.5</v>
      </c>
      <c r="B59" s="103">
        <f t="shared" si="0"/>
        <v>5.9977847211889772</v>
      </c>
      <c r="C59" s="93">
        <f t="shared" si="1"/>
        <v>4</v>
      </c>
      <c r="D59" s="105">
        <f t="shared" si="2"/>
        <v>51.768600834436867</v>
      </c>
      <c r="E59" s="22">
        <f t="shared" si="3"/>
        <v>1159.1959091709591</v>
      </c>
      <c r="F59" s="22">
        <f t="shared" si="4"/>
        <v>177.86995000233998</v>
      </c>
      <c r="G59" s="22">
        <f t="shared" si="5"/>
        <v>15.344252735462991</v>
      </c>
      <c r="H59" s="86"/>
    </row>
    <row r="60" spans="1:9">
      <c r="A60" s="17">
        <v>7</v>
      </c>
      <c r="B60" s="103">
        <f t="shared" si="0"/>
        <v>5.5693715268183359</v>
      </c>
      <c r="C60" s="93">
        <f t="shared" si="1"/>
        <v>5</v>
      </c>
      <c r="D60" s="105">
        <f t="shared" si="2"/>
        <v>46.814880667549495</v>
      </c>
      <c r="E60" s="22">
        <f t="shared" si="3"/>
        <v>1158.1364856167634</v>
      </c>
      <c r="F60" s="22">
        <f t="shared" si="4"/>
        <v>176.65933948903483</v>
      </c>
      <c r="G60" s="22">
        <f t="shared" si="5"/>
        <v>15.253758229968486</v>
      </c>
      <c r="H60" s="35"/>
    </row>
    <row r="61" spans="1:9">
      <c r="A61" s="17">
        <v>7.5</v>
      </c>
      <c r="B61" s="103" t="str">
        <f t="shared" si="0"/>
        <v>Не использовать</v>
      </c>
      <c r="C61" s="93" t="str">
        <f t="shared" si="1"/>
        <v>Не использовать</v>
      </c>
      <c r="D61" s="105" t="str">
        <f t="shared" si="2"/>
        <v>Не использовать</v>
      </c>
      <c r="E61" s="22" t="str">
        <f t="shared" si="3"/>
        <v>Не использовать</v>
      </c>
      <c r="F61" s="22" t="str">
        <f t="shared" si="4"/>
        <v>Не использовать</v>
      </c>
      <c r="G61" s="22" t="str">
        <f t="shared" si="5"/>
        <v>Не использовать</v>
      </c>
      <c r="H61" s="35"/>
    </row>
    <row r="62" spans="1:9">
      <c r="A62" s="18" t="s">
        <v>5</v>
      </c>
      <c r="B62" s="19" t="s">
        <v>5</v>
      </c>
      <c r="C62" s="20" t="s">
        <v>5</v>
      </c>
      <c r="D62" s="20" t="s">
        <v>5</v>
      </c>
      <c r="E62" s="21" t="s">
        <v>5</v>
      </c>
      <c r="F62" s="21" t="s">
        <v>5</v>
      </c>
      <c r="G62" s="18" t="s">
        <v>5</v>
      </c>
      <c r="H62" s="35"/>
    </row>
    <row r="63" spans="1:9">
      <c r="A63" s="50" t="s">
        <v>223</v>
      </c>
      <c r="B63" s="1"/>
      <c r="C63" s="2"/>
      <c r="D63" s="2"/>
      <c r="E63" s="3"/>
      <c r="F63" s="3"/>
      <c r="H63" s="35"/>
    </row>
    <row r="64" spans="1:9">
      <c r="A64" s="50" t="s">
        <v>224</v>
      </c>
      <c r="B64" s="1"/>
      <c r="C64" s="2"/>
      <c r="D64" s="2"/>
      <c r="E64" s="3"/>
      <c r="F64" s="3"/>
    </row>
  </sheetData>
  <sheetProtection sheet="1" objects="1" scenarios="1"/>
  <dataValidations count="1">
    <dataValidation type="list" allowBlank="1" showInputMessage="1" showErrorMessage="1" sqref="E17" xr:uid="{00000000-0002-0000-0400-000000000000}">
      <formula1>"Сено 1 Силос, Сено 2 Силос, Сено 3 Силос, Кукурузный силос, Мой силос"</formula1>
    </dataValidation>
  </dataValidations>
  <hyperlinks>
    <hyperlink ref="A10" r:id="rId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4"/>
  <sheetViews>
    <sheetView zoomScale="80" zoomScaleNormal="80" zoomScalePageLayoutView="80" workbookViewId="0"/>
  </sheetViews>
  <sheetFormatPr defaultColWidth="8.85546875" defaultRowHeight="12.75"/>
  <cols>
    <col min="1" max="1" width="26" customWidth="1"/>
    <col min="2" max="2" width="29.42578125" customWidth="1"/>
    <col min="3" max="3" width="22.140625" customWidth="1"/>
    <col min="4" max="4" width="22" customWidth="1"/>
    <col min="5" max="5" width="22.42578125" customWidth="1"/>
    <col min="6" max="6" width="19.85546875" customWidth="1"/>
    <col min="7" max="7" width="18.7109375" customWidth="1"/>
    <col min="8" max="8" width="15.28515625" customWidth="1"/>
    <col min="9" max="9" width="19.42578125" customWidth="1"/>
    <col min="12" max="12" width="14.140625" customWidth="1"/>
    <col min="13" max="13" width="13.7109375" customWidth="1"/>
    <col min="14" max="14" width="14" customWidth="1"/>
    <col min="16" max="16" width="13.42578125" customWidth="1"/>
    <col min="17" max="17" width="12.7109375" customWidth="1"/>
    <col min="18" max="18" width="14" customWidth="1"/>
    <col min="19" max="19" width="13.7109375" customWidth="1"/>
  </cols>
  <sheetData>
    <row r="1" spans="1:20">
      <c r="A1" s="45" t="s">
        <v>333</v>
      </c>
      <c r="B1" s="1"/>
      <c r="C1" s="2"/>
      <c r="D1" s="2"/>
      <c r="E1" s="3"/>
      <c r="F1" s="3"/>
    </row>
    <row r="2" spans="1:20">
      <c r="B2" s="7" t="s">
        <v>332</v>
      </c>
      <c r="C2" s="2"/>
      <c r="D2" s="2"/>
      <c r="E2" s="3"/>
      <c r="F2" s="3"/>
    </row>
    <row r="3" spans="1:20">
      <c r="A3" t="s">
        <v>1</v>
      </c>
      <c r="B3" s="1"/>
      <c r="C3" s="2"/>
      <c r="D3" s="2"/>
      <c r="E3" s="3"/>
      <c r="F3" s="3"/>
      <c r="L3" s="35"/>
    </row>
    <row r="4" spans="1:20">
      <c r="A4" t="s">
        <v>310</v>
      </c>
      <c r="B4" s="1"/>
      <c r="C4" s="2"/>
      <c r="D4" s="2"/>
      <c r="E4" s="3"/>
      <c r="F4" s="3"/>
    </row>
    <row r="5" spans="1:20">
      <c r="A5" t="s">
        <v>311</v>
      </c>
      <c r="B5" s="1"/>
      <c r="C5" s="2"/>
      <c r="D5" s="2"/>
      <c r="E5" s="3"/>
      <c r="F5" s="3"/>
    </row>
    <row r="6" spans="1:20">
      <c r="A6" t="s">
        <v>4</v>
      </c>
      <c r="B6" s="1"/>
      <c r="C6" s="2"/>
      <c r="D6" s="2"/>
      <c r="E6" s="3"/>
      <c r="F6" s="3"/>
      <c r="H6" s="35"/>
      <c r="I6" s="36" t="s">
        <v>429</v>
      </c>
      <c r="J6" s="37"/>
      <c r="K6" s="37"/>
      <c r="L6" s="37"/>
      <c r="M6" s="37"/>
      <c r="N6" s="37"/>
      <c r="O6" s="37"/>
      <c r="P6" s="37"/>
      <c r="Q6" s="37"/>
      <c r="R6" s="37"/>
      <c r="S6" s="37"/>
      <c r="T6" s="37"/>
    </row>
    <row r="7" spans="1:20">
      <c r="A7" t="s">
        <v>89</v>
      </c>
      <c r="B7" s="1"/>
      <c r="C7" s="2"/>
      <c r="D7" s="2"/>
      <c r="E7" s="3"/>
      <c r="F7" s="3"/>
      <c r="H7" s="35"/>
      <c r="I7" s="38" t="s">
        <v>5</v>
      </c>
      <c r="J7" s="38" t="s">
        <v>5</v>
      </c>
      <c r="K7" s="38" t="s">
        <v>5</v>
      </c>
      <c r="L7" s="38" t="s">
        <v>5</v>
      </c>
      <c r="M7" s="38" t="s">
        <v>5</v>
      </c>
      <c r="N7" s="38" t="s">
        <v>5</v>
      </c>
      <c r="O7" s="38" t="s">
        <v>5</v>
      </c>
      <c r="P7" s="38" t="s">
        <v>5</v>
      </c>
      <c r="Q7" s="38" t="s">
        <v>5</v>
      </c>
      <c r="R7" s="38" t="s">
        <v>5</v>
      </c>
      <c r="S7" s="38" t="s">
        <v>5</v>
      </c>
      <c r="T7" s="38" t="s">
        <v>5</v>
      </c>
    </row>
    <row r="8" spans="1:20">
      <c r="A8" t="s">
        <v>75</v>
      </c>
      <c r="B8" s="1"/>
      <c r="C8" s="2"/>
      <c r="D8" s="2"/>
      <c r="E8" s="3"/>
      <c r="F8" s="3"/>
      <c r="H8" s="35"/>
      <c r="I8" s="37"/>
      <c r="J8" s="37"/>
      <c r="K8" s="37"/>
      <c r="L8" s="37" t="s">
        <v>328</v>
      </c>
      <c r="M8" s="37" t="s">
        <v>328</v>
      </c>
      <c r="N8" s="37" t="s">
        <v>328</v>
      </c>
      <c r="O8" s="37" t="s">
        <v>307</v>
      </c>
      <c r="P8" s="37"/>
      <c r="Q8" s="37" t="s">
        <v>328</v>
      </c>
      <c r="R8" s="37" t="s">
        <v>328</v>
      </c>
      <c r="S8" s="37" t="s">
        <v>328</v>
      </c>
      <c r="T8" s="37" t="s">
        <v>307</v>
      </c>
    </row>
    <row r="9" spans="1:20">
      <c r="B9" s="1"/>
      <c r="C9" s="2"/>
      <c r="E9" s="44"/>
      <c r="F9" s="44"/>
      <c r="G9" s="35"/>
      <c r="H9" s="35"/>
      <c r="I9" s="37"/>
      <c r="J9" s="37" t="s">
        <v>321</v>
      </c>
      <c r="K9" s="37"/>
      <c r="L9" s="37" t="s">
        <v>327</v>
      </c>
      <c r="M9" s="37" t="s">
        <v>329</v>
      </c>
      <c r="N9" s="37" t="s">
        <v>330</v>
      </c>
      <c r="O9" s="37" t="s">
        <v>308</v>
      </c>
      <c r="P9" s="37"/>
      <c r="Q9" s="37" t="s">
        <v>327</v>
      </c>
      <c r="R9" s="37" t="s">
        <v>329</v>
      </c>
      <c r="S9" s="37" t="s">
        <v>330</v>
      </c>
      <c r="T9" s="37" t="s">
        <v>308</v>
      </c>
    </row>
    <row r="10" spans="1:20" ht="15">
      <c r="B10" s="1"/>
      <c r="C10" s="2"/>
      <c r="D10" s="2"/>
      <c r="E10" s="3"/>
      <c r="F10" s="3"/>
      <c r="H10" s="35"/>
      <c r="I10" s="37"/>
      <c r="J10" s="37" t="s">
        <v>129</v>
      </c>
      <c r="K10" s="37"/>
      <c r="L10" s="91"/>
      <c r="M10" s="37"/>
      <c r="N10" s="37"/>
      <c r="O10" s="37"/>
      <c r="P10" s="37"/>
      <c r="Q10" s="37"/>
      <c r="R10" s="37"/>
      <c r="S10" s="37"/>
      <c r="T10" s="37"/>
    </row>
    <row r="11" spans="1:20">
      <c r="B11" s="1"/>
      <c r="C11" s="2"/>
      <c r="D11" s="2"/>
      <c r="E11" s="3"/>
      <c r="F11" s="3"/>
      <c r="H11" s="35"/>
      <c r="I11" s="37" t="s">
        <v>293</v>
      </c>
      <c r="J11" s="37" t="s">
        <v>116</v>
      </c>
      <c r="K11" s="37" t="s">
        <v>16</v>
      </c>
      <c r="L11" s="39" t="s">
        <v>294</v>
      </c>
      <c r="M11" s="37"/>
      <c r="N11" s="37"/>
      <c r="O11" s="37"/>
      <c r="P11" s="37"/>
      <c r="Q11" s="39" t="s">
        <v>309</v>
      </c>
      <c r="R11" s="37"/>
      <c r="S11" s="37"/>
      <c r="T11" s="37"/>
    </row>
    <row r="12" spans="1:20">
      <c r="B12" s="1"/>
      <c r="C12" s="8" t="s">
        <v>267</v>
      </c>
      <c r="D12" s="8"/>
      <c r="E12" s="9"/>
      <c r="F12" s="9"/>
      <c r="G12" s="35"/>
      <c r="H12" s="35"/>
      <c r="I12" s="38" t="s">
        <v>5</v>
      </c>
      <c r="J12" s="38" t="s">
        <v>5</v>
      </c>
      <c r="K12" s="38" t="s">
        <v>5</v>
      </c>
      <c r="L12" s="38" t="s">
        <v>5</v>
      </c>
      <c r="M12" s="38" t="s">
        <v>5</v>
      </c>
      <c r="N12" s="38" t="s">
        <v>5</v>
      </c>
      <c r="O12" s="38" t="s">
        <v>5</v>
      </c>
      <c r="P12" s="38" t="s">
        <v>5</v>
      </c>
      <c r="Q12" s="38" t="s">
        <v>5</v>
      </c>
      <c r="R12" s="38" t="s">
        <v>5</v>
      </c>
      <c r="S12" s="38" t="s">
        <v>5</v>
      </c>
      <c r="T12" s="38" t="s">
        <v>5</v>
      </c>
    </row>
    <row r="13" spans="1:20">
      <c r="A13" s="26" t="s">
        <v>266</v>
      </c>
      <c r="B13" s="27"/>
      <c r="C13" s="8"/>
      <c r="D13" s="8"/>
      <c r="E13" s="9"/>
      <c r="F13" s="9"/>
      <c r="H13" s="35"/>
      <c r="I13" s="37" t="s">
        <v>117</v>
      </c>
      <c r="J13" s="37"/>
      <c r="K13" s="37">
        <f>SUM(J14:J17)</f>
        <v>68</v>
      </c>
      <c r="L13" s="37"/>
      <c r="M13" s="37"/>
      <c r="N13" s="37"/>
      <c r="O13" s="37"/>
      <c r="P13" s="37"/>
      <c r="Q13" s="37"/>
      <c r="R13" s="37"/>
      <c r="S13" s="37"/>
      <c r="T13" s="37"/>
    </row>
    <row r="14" spans="1:20">
      <c r="A14" s="33" t="s">
        <v>92</v>
      </c>
      <c r="B14" s="33" t="s">
        <v>92</v>
      </c>
      <c r="C14" s="33" t="s">
        <v>92</v>
      </c>
      <c r="D14" s="33" t="s">
        <v>92</v>
      </c>
      <c r="E14" s="33" t="s">
        <v>92</v>
      </c>
      <c r="F14" s="33" t="s">
        <v>92</v>
      </c>
      <c r="H14" s="35"/>
      <c r="I14" s="40" t="s">
        <v>295</v>
      </c>
      <c r="J14" s="11">
        <v>8</v>
      </c>
      <c r="K14" s="42"/>
      <c r="L14" s="11">
        <v>0</v>
      </c>
      <c r="M14" s="11">
        <v>0</v>
      </c>
      <c r="N14" s="11">
        <v>9.1</v>
      </c>
      <c r="O14" s="11">
        <v>0</v>
      </c>
      <c r="P14" s="37"/>
      <c r="Q14" s="163">
        <f>L14*$J$14</f>
        <v>0</v>
      </c>
      <c r="R14" s="163">
        <f>M14*$J$14</f>
        <v>0</v>
      </c>
      <c r="S14" s="163">
        <f>N14*$J$14</f>
        <v>72.8</v>
      </c>
      <c r="T14" s="163">
        <f>O14*$J$14</f>
        <v>0</v>
      </c>
    </row>
    <row r="15" spans="1:20">
      <c r="A15" s="10" t="s">
        <v>268</v>
      </c>
      <c r="B15" s="27"/>
      <c r="C15" s="8"/>
      <c r="D15" s="8"/>
      <c r="E15" s="12">
        <v>2.7</v>
      </c>
      <c r="F15" s="9"/>
      <c r="G15" s="35"/>
      <c r="H15" s="35"/>
      <c r="I15" s="40" t="s">
        <v>127</v>
      </c>
      <c r="J15" s="11">
        <v>22</v>
      </c>
      <c r="K15" s="42"/>
      <c r="L15" s="11">
        <v>0</v>
      </c>
      <c r="M15" s="11">
        <v>4.5</v>
      </c>
      <c r="N15" s="11">
        <v>6.8</v>
      </c>
      <c r="O15" s="11">
        <v>0</v>
      </c>
      <c r="P15" s="37"/>
      <c r="Q15" s="163">
        <f>L15*$J$15</f>
        <v>0</v>
      </c>
      <c r="R15" s="163">
        <f>M15*$J$15</f>
        <v>99</v>
      </c>
      <c r="S15" s="163">
        <f>N15*$J$15</f>
        <v>149.6</v>
      </c>
      <c r="T15" s="163">
        <f>O15*$J$15</f>
        <v>0</v>
      </c>
    </row>
    <row r="16" spans="1:20">
      <c r="A16" s="33"/>
      <c r="B16" s="29"/>
      <c r="C16" s="30"/>
      <c r="D16" s="30"/>
      <c r="E16" s="31"/>
      <c r="F16" s="31"/>
      <c r="G16" s="34"/>
      <c r="H16" s="35"/>
      <c r="I16" s="40" t="s">
        <v>128</v>
      </c>
      <c r="J16" s="11">
        <v>22</v>
      </c>
      <c r="K16" s="42"/>
      <c r="L16" s="11">
        <v>0</v>
      </c>
      <c r="M16" s="11">
        <v>4.4000000000000004</v>
      </c>
      <c r="N16" s="11">
        <v>6.8</v>
      </c>
      <c r="O16" s="11">
        <v>0</v>
      </c>
      <c r="P16" s="37"/>
      <c r="Q16" s="163">
        <f>L16*$J$16</f>
        <v>0</v>
      </c>
      <c r="R16" s="163">
        <f>M16*$J$16</f>
        <v>96.800000000000011</v>
      </c>
      <c r="S16" s="163">
        <f>N16*$J$16</f>
        <v>149.6</v>
      </c>
      <c r="T16" s="163">
        <f>O16*$J$16</f>
        <v>0</v>
      </c>
    </row>
    <row r="17" spans="1:20">
      <c r="A17" s="10" t="s">
        <v>324</v>
      </c>
      <c r="B17" s="27"/>
      <c r="C17" s="8"/>
      <c r="D17" s="8"/>
      <c r="E17" s="121" t="s">
        <v>331</v>
      </c>
      <c r="F17" s="53" t="s">
        <v>312</v>
      </c>
      <c r="I17" s="40" t="s">
        <v>322</v>
      </c>
      <c r="J17" s="11">
        <v>16</v>
      </c>
      <c r="K17" s="42"/>
      <c r="L17" s="11">
        <v>0</v>
      </c>
      <c r="M17" s="11">
        <v>9.1</v>
      </c>
      <c r="N17" s="11">
        <v>0</v>
      </c>
      <c r="O17" s="11">
        <v>1.4</v>
      </c>
      <c r="P17" s="37"/>
      <c r="Q17" s="163">
        <f>L17*$J$17</f>
        <v>0</v>
      </c>
      <c r="R17" s="163">
        <f>M17*$J$17</f>
        <v>145.6</v>
      </c>
      <c r="S17" s="163">
        <f>N17*$J$17</f>
        <v>0</v>
      </c>
      <c r="T17" s="163">
        <f>O17*$J$17</f>
        <v>22.4</v>
      </c>
    </row>
    <row r="18" spans="1:20">
      <c r="A18" s="10"/>
      <c r="B18" s="27"/>
      <c r="C18" s="8"/>
      <c r="D18" s="8"/>
      <c r="E18" s="32"/>
      <c r="F18" s="53" t="s">
        <v>313</v>
      </c>
      <c r="I18" s="37"/>
      <c r="J18" s="43"/>
      <c r="K18" s="42"/>
      <c r="L18" s="43"/>
      <c r="M18" s="43"/>
      <c r="N18" s="43"/>
      <c r="O18" s="43"/>
      <c r="P18" s="37"/>
      <c r="Q18" s="163"/>
      <c r="R18" s="163"/>
      <c r="S18" s="163"/>
      <c r="T18" s="163"/>
    </row>
    <row r="19" spans="1:20">
      <c r="A19" s="10" t="s">
        <v>269</v>
      </c>
      <c r="B19" s="27"/>
      <c r="C19" s="8"/>
      <c r="D19" s="8"/>
      <c r="E19" s="161">
        <f>IF(E17="Ensilaje Maiz",T44,IF(E17="Ensilaje de Alfalfa/Pasto 1",Q44, IF(E17="Ensilaje de Alfalfa/Pasto 2",R44,IF(E17="Ensilaje de Alfalfa/Pasto 3", S44,IF(E17="Mi Ensilaje",F21)))))</f>
        <v>2721</v>
      </c>
      <c r="F19" s="54" t="str">
        <f>IF(E17="Mi Ensilaje", " ", "Valor que viene del Calculador de Materia Seca del Ensilaje")</f>
        <v xml:space="preserve"> </v>
      </c>
      <c r="G19" s="55"/>
      <c r="H19" s="55"/>
      <c r="I19" s="37" t="s">
        <v>296</v>
      </c>
      <c r="J19" s="11">
        <v>20</v>
      </c>
      <c r="K19" s="202">
        <f>J19</f>
        <v>20</v>
      </c>
      <c r="L19" s="11">
        <v>6.8</v>
      </c>
      <c r="M19" s="11">
        <v>4.5</v>
      </c>
      <c r="N19" s="11">
        <v>0</v>
      </c>
      <c r="O19" s="11">
        <v>1.4</v>
      </c>
      <c r="P19" s="37"/>
      <c r="Q19" s="163">
        <f>L19*$J$19</f>
        <v>136</v>
      </c>
      <c r="R19" s="163">
        <f>M19*$J$19</f>
        <v>90</v>
      </c>
      <c r="S19" s="163">
        <f>N19*$J$19</f>
        <v>0</v>
      </c>
      <c r="T19" s="163">
        <f>O19*$J$19</f>
        <v>28</v>
      </c>
    </row>
    <row r="20" spans="1:20">
      <c r="A20" s="10"/>
      <c r="B20" s="27"/>
      <c r="C20" s="8"/>
      <c r="D20" s="8"/>
      <c r="E20" s="32"/>
      <c r="F20" s="54" t="str">
        <f>IF(E17="Mi Ensilaje", " ", "Cuadro, Hilera 44")</f>
        <v xml:space="preserve"> </v>
      </c>
      <c r="G20" s="55"/>
      <c r="H20" s="55"/>
      <c r="I20" s="37"/>
      <c r="J20" s="43"/>
      <c r="K20" s="202"/>
      <c r="L20" s="43"/>
      <c r="M20" s="43"/>
      <c r="N20" s="43"/>
      <c r="O20" s="43"/>
      <c r="P20" s="37"/>
      <c r="Q20" s="163"/>
      <c r="R20" s="163"/>
      <c r="S20" s="163"/>
      <c r="T20" s="163"/>
    </row>
    <row r="21" spans="1:20">
      <c r="A21" s="90" t="str">
        <f>IF(E17="Mi Ensilaje", "Mi Ensilaje, si es que no viene del cuadro para calcular la MS del ensilaje (Hilera 44) (Kg Consumo MS/Hato-Dia)   =", "  ")</f>
        <v>Mi Ensilaje, si es que no viene del cuadro para calcular la MS del ensilaje (Hilera 44) (Kg Consumo MS/Hato-Dia)   =</v>
      </c>
      <c r="B21" s="56"/>
      <c r="C21" s="56"/>
      <c r="D21" s="8"/>
      <c r="E21" s="32"/>
      <c r="F21" s="63">
        <v>2721</v>
      </c>
      <c r="G21" s="58" t="str">
        <f>IF(E17="Mi Ensilaje","Mi Ensilaje","   ")</f>
        <v>Mi Ensilaje</v>
      </c>
      <c r="I21" s="37" t="s">
        <v>297</v>
      </c>
      <c r="J21" s="11">
        <v>6</v>
      </c>
      <c r="K21" s="202">
        <f>J21</f>
        <v>6</v>
      </c>
      <c r="L21" s="11">
        <v>4.5</v>
      </c>
      <c r="M21" s="11">
        <v>2.2999999999999998</v>
      </c>
      <c r="N21" s="11">
        <v>0</v>
      </c>
      <c r="O21" s="11">
        <v>4.5</v>
      </c>
      <c r="P21" s="37"/>
      <c r="Q21" s="163">
        <f>L21*$J21</f>
        <v>27</v>
      </c>
      <c r="R21" s="163">
        <f>M21*$J21</f>
        <v>13.799999999999999</v>
      </c>
      <c r="S21" s="163">
        <f>N21*$J21</f>
        <v>0</v>
      </c>
      <c r="T21" s="163">
        <f>O21*$J21</f>
        <v>27</v>
      </c>
    </row>
    <row r="22" spans="1:20">
      <c r="A22" s="10" t="s">
        <v>270</v>
      </c>
      <c r="B22" s="27"/>
      <c r="C22" s="8"/>
      <c r="D22" s="8"/>
      <c r="E22" s="12">
        <v>10</v>
      </c>
      <c r="F22" s="9"/>
      <c r="G22" s="35"/>
      <c r="H22" s="35"/>
      <c r="I22" s="37"/>
      <c r="J22" s="43"/>
      <c r="K22" s="202"/>
      <c r="L22" s="43"/>
      <c r="M22" s="43"/>
      <c r="N22" s="43"/>
      <c r="O22" s="43"/>
      <c r="P22" s="37"/>
      <c r="Q22" s="163"/>
      <c r="R22" s="163"/>
      <c r="S22" s="163"/>
      <c r="T22" s="163"/>
    </row>
    <row r="23" spans="1:20">
      <c r="A23" s="10" t="s">
        <v>315</v>
      </c>
      <c r="B23" s="27"/>
      <c r="C23" s="8"/>
      <c r="D23" s="8"/>
      <c r="E23" s="32"/>
      <c r="F23" s="9"/>
      <c r="G23" s="35"/>
      <c r="H23" s="35"/>
      <c r="I23" s="37" t="s">
        <v>298</v>
      </c>
      <c r="J23" s="11">
        <v>110</v>
      </c>
      <c r="K23" s="202">
        <f>J23</f>
        <v>110</v>
      </c>
      <c r="L23" s="11">
        <v>4.5</v>
      </c>
      <c r="M23" s="11">
        <v>0</v>
      </c>
      <c r="N23" s="11">
        <v>0</v>
      </c>
      <c r="O23" s="11">
        <v>6.8</v>
      </c>
      <c r="P23" s="37"/>
      <c r="Q23" s="163">
        <f>L23*$J$23</f>
        <v>495</v>
      </c>
      <c r="R23" s="163">
        <f>M23*$J$23</f>
        <v>0</v>
      </c>
      <c r="S23" s="163">
        <f>N23*$J$23</f>
        <v>0</v>
      </c>
      <c r="T23" s="163">
        <f>O23*$J$23</f>
        <v>748</v>
      </c>
    </row>
    <row r="24" spans="1:20">
      <c r="A24" s="10"/>
      <c r="B24" s="27"/>
      <c r="C24" s="8"/>
      <c r="D24" s="8"/>
      <c r="E24" s="32"/>
      <c r="F24" s="9"/>
      <c r="G24" s="185" t="s">
        <v>334</v>
      </c>
      <c r="H24" s="191">
        <f>E32*39.37</f>
        <v>11.810999999999998</v>
      </c>
      <c r="I24" s="37"/>
      <c r="J24" s="200"/>
      <c r="K24" s="202"/>
      <c r="L24" s="200"/>
      <c r="M24" s="200"/>
      <c r="N24" s="200"/>
      <c r="O24" s="200"/>
      <c r="P24" s="37"/>
      <c r="Q24" s="163"/>
      <c r="R24" s="163"/>
      <c r="S24" s="163"/>
      <c r="T24" s="163"/>
    </row>
    <row r="25" spans="1:20">
      <c r="A25" s="10" t="s">
        <v>271</v>
      </c>
      <c r="B25" s="27"/>
      <c r="C25" s="8"/>
      <c r="D25" s="8"/>
      <c r="E25" s="12">
        <v>5</v>
      </c>
      <c r="F25" s="9"/>
      <c r="G25" s="185" t="s">
        <v>335</v>
      </c>
      <c r="H25" s="191">
        <f>E28*0.062</f>
        <v>43.71</v>
      </c>
      <c r="I25" s="37" t="s">
        <v>299</v>
      </c>
      <c r="J25" s="200"/>
      <c r="K25" s="202">
        <f>SUM(J26:J28)</f>
        <v>226</v>
      </c>
      <c r="L25" s="200"/>
      <c r="M25" s="200"/>
      <c r="N25" s="200"/>
      <c r="O25" s="200"/>
      <c r="P25" s="37"/>
      <c r="Q25" s="163"/>
      <c r="R25" s="163"/>
      <c r="S25" s="163"/>
      <c r="T25" s="163"/>
    </row>
    <row r="26" spans="1:20">
      <c r="A26" s="10" t="s">
        <v>314</v>
      </c>
      <c r="B26" s="27"/>
      <c r="C26" s="8"/>
      <c r="D26" s="8"/>
      <c r="E26" s="32"/>
      <c r="F26" s="9"/>
      <c r="G26" s="185" t="s">
        <v>336</v>
      </c>
      <c r="H26" s="191">
        <f>100-E30</f>
        <v>33</v>
      </c>
      <c r="I26" s="40" t="s">
        <v>300</v>
      </c>
      <c r="J26" s="11">
        <v>90</v>
      </c>
      <c r="K26" s="42"/>
      <c r="L26" s="11">
        <v>4.5</v>
      </c>
      <c r="M26" s="11">
        <v>0</v>
      </c>
      <c r="N26" s="11">
        <v>0</v>
      </c>
      <c r="O26" s="11">
        <v>6.8</v>
      </c>
      <c r="P26" s="37"/>
      <c r="Q26" s="163">
        <f>L26*$J$26</f>
        <v>405</v>
      </c>
      <c r="R26" s="163">
        <f>M26*$J$26</f>
        <v>0</v>
      </c>
      <c r="S26" s="163">
        <f>N26*$J$26</f>
        <v>0</v>
      </c>
      <c r="T26" s="163">
        <f>O26*$J$26</f>
        <v>612</v>
      </c>
    </row>
    <row r="27" spans="1:20">
      <c r="A27" s="10"/>
      <c r="B27" s="27"/>
      <c r="C27" s="8"/>
      <c r="D27" s="8"/>
      <c r="E27" s="32"/>
      <c r="F27" s="9"/>
      <c r="G27" s="185" t="s">
        <v>337</v>
      </c>
      <c r="H27" s="191">
        <f>H25*H26/100</f>
        <v>14.424300000000001</v>
      </c>
      <c r="I27" s="40" t="s">
        <v>302</v>
      </c>
      <c r="J27" s="11">
        <v>68</v>
      </c>
      <c r="K27" s="42"/>
      <c r="L27" s="11">
        <v>6.8</v>
      </c>
      <c r="M27" s="11">
        <v>2.2999999999999998</v>
      </c>
      <c r="N27" s="11">
        <v>0</v>
      </c>
      <c r="O27" s="11">
        <v>4.5</v>
      </c>
      <c r="P27" s="37"/>
      <c r="Q27" s="163">
        <f>L27*$J$27</f>
        <v>462.4</v>
      </c>
      <c r="R27" s="163">
        <f>M27*$J$27</f>
        <v>156.39999999999998</v>
      </c>
      <c r="S27" s="163">
        <f>N27*$J$27</f>
        <v>0</v>
      </c>
      <c r="T27" s="163">
        <f>O27*$J$27</f>
        <v>306</v>
      </c>
    </row>
    <row r="28" spans="1:20">
      <c r="A28" s="10" t="s">
        <v>272</v>
      </c>
      <c r="B28" s="27"/>
      <c r="C28" s="8"/>
      <c r="D28" s="8"/>
      <c r="E28" s="12">
        <v>705</v>
      </c>
      <c r="F28" s="9"/>
      <c r="G28" s="185" t="s">
        <v>338</v>
      </c>
      <c r="H28" s="191">
        <f>100*(1-(H27/(62.4*1.5)+(H25-H27)/62.4))</f>
        <v>37.657211538461532</v>
      </c>
      <c r="I28" s="40" t="s">
        <v>301</v>
      </c>
      <c r="J28" s="11">
        <v>68</v>
      </c>
      <c r="K28" s="42"/>
      <c r="L28" s="11">
        <v>4.5</v>
      </c>
      <c r="M28" s="11">
        <v>4.5</v>
      </c>
      <c r="N28" s="11">
        <v>0</v>
      </c>
      <c r="O28" s="11">
        <v>4.5</v>
      </c>
      <c r="P28" s="37"/>
      <c r="Q28" s="163">
        <f>L28*$J$28</f>
        <v>306</v>
      </c>
      <c r="R28" s="163">
        <f>M28*$J$28</f>
        <v>306</v>
      </c>
      <c r="S28" s="163">
        <f>N28*$J$28</f>
        <v>0</v>
      </c>
      <c r="T28" s="163">
        <f>O28*$J$28</f>
        <v>306</v>
      </c>
    </row>
    <row r="29" spans="1:20">
      <c r="A29" s="10"/>
      <c r="B29" s="27"/>
      <c r="C29" s="8"/>
      <c r="D29" s="8"/>
      <c r="E29" s="32"/>
      <c r="F29" s="9"/>
      <c r="G29" s="185" t="s">
        <v>340</v>
      </c>
      <c r="H29" s="191">
        <f>40*H26/100</f>
        <v>13.2</v>
      </c>
      <c r="I29" s="37"/>
      <c r="J29" s="200"/>
      <c r="K29" s="202"/>
      <c r="L29" s="200"/>
      <c r="M29" s="200"/>
      <c r="N29" s="200"/>
      <c r="O29" s="200"/>
      <c r="P29" s="37"/>
      <c r="Q29" s="163"/>
      <c r="R29" s="163"/>
      <c r="S29" s="163"/>
      <c r="T29" s="163"/>
    </row>
    <row r="30" spans="1:20">
      <c r="A30" s="10" t="s">
        <v>273</v>
      </c>
      <c r="B30" s="27"/>
      <c r="C30" s="8"/>
      <c r="D30" s="8"/>
      <c r="E30" s="12">
        <v>67</v>
      </c>
      <c r="F30" s="9"/>
      <c r="G30" s="185" t="s">
        <v>339</v>
      </c>
      <c r="H30" s="191">
        <f>100*(1-(H29/(62.4*1.5)+(40-H29)/62.4))</f>
        <v>42.948717948717949</v>
      </c>
      <c r="I30" s="37" t="s">
        <v>303</v>
      </c>
      <c r="J30" s="11">
        <v>10</v>
      </c>
      <c r="K30" s="203">
        <f>J30</f>
        <v>10</v>
      </c>
      <c r="L30" s="11">
        <v>11.4</v>
      </c>
      <c r="M30" s="11">
        <v>2.2999999999999998</v>
      </c>
      <c r="N30" s="11">
        <v>0</v>
      </c>
      <c r="O30" s="11">
        <v>2.2999999999999998</v>
      </c>
      <c r="P30" s="37"/>
      <c r="Q30" s="163">
        <f>L30*$J$30</f>
        <v>114</v>
      </c>
      <c r="R30" s="163">
        <f>M30*$J$30</f>
        <v>23</v>
      </c>
      <c r="S30" s="163">
        <f>N30*$J$30</f>
        <v>0</v>
      </c>
      <c r="T30" s="163">
        <f>O30*$J$30</f>
        <v>23</v>
      </c>
    </row>
    <row r="31" spans="1:20">
      <c r="A31" s="10"/>
      <c r="B31" s="27"/>
      <c r="C31" s="8"/>
      <c r="D31" s="8"/>
      <c r="E31" s="32"/>
      <c r="F31" s="9"/>
      <c r="G31" s="188"/>
      <c r="H31" s="194"/>
      <c r="I31" s="38" t="s">
        <v>39</v>
      </c>
      <c r="J31" s="201" t="s">
        <v>39</v>
      </c>
      <c r="K31" s="206" t="s">
        <v>39</v>
      </c>
      <c r="L31" s="201" t="s">
        <v>39</v>
      </c>
      <c r="M31" s="201" t="s">
        <v>39</v>
      </c>
      <c r="N31" s="201" t="s">
        <v>39</v>
      </c>
      <c r="O31" s="201" t="s">
        <v>39</v>
      </c>
      <c r="P31" s="38" t="s">
        <v>39</v>
      </c>
      <c r="Q31" s="38" t="s">
        <v>39</v>
      </c>
      <c r="R31" s="38" t="s">
        <v>39</v>
      </c>
      <c r="S31" s="38" t="s">
        <v>39</v>
      </c>
      <c r="T31" s="38" t="s">
        <v>39</v>
      </c>
    </row>
    <row r="32" spans="1:20">
      <c r="A32" s="10" t="s">
        <v>316</v>
      </c>
      <c r="B32" s="27"/>
      <c r="C32" s="8"/>
      <c r="D32" s="8"/>
      <c r="E32" s="12">
        <v>0.3</v>
      </c>
      <c r="F32" s="9"/>
      <c r="G32" s="189">
        <f>(3+((H26-35)/100))*(H28/H30)*(6/H24)</f>
        <v>1.3273296585399141</v>
      </c>
      <c r="H32" s="188"/>
      <c r="I32" s="37" t="s">
        <v>304</v>
      </c>
      <c r="J32" s="200" t="s">
        <v>16</v>
      </c>
      <c r="K32" s="202">
        <f>SUM(K12:K30)</f>
        <v>440</v>
      </c>
      <c r="L32" s="200"/>
      <c r="M32" s="200"/>
      <c r="N32" s="200"/>
      <c r="O32" s="200"/>
      <c r="P32" s="37"/>
      <c r="Q32" s="37"/>
      <c r="R32" s="37"/>
      <c r="S32" s="37"/>
      <c r="T32" s="37"/>
    </row>
    <row r="33" spans="1:20">
      <c r="A33" s="10"/>
      <c r="B33" s="27"/>
      <c r="C33" s="8"/>
      <c r="D33" s="8"/>
      <c r="E33" s="32"/>
      <c r="F33" s="9"/>
      <c r="G33" s="35"/>
      <c r="H33" s="35"/>
      <c r="I33" s="41"/>
      <c r="J33" s="200"/>
      <c r="K33" s="202"/>
      <c r="L33" s="200"/>
      <c r="M33" s="200"/>
      <c r="N33" s="200"/>
      <c r="O33" s="200"/>
      <c r="P33" s="37"/>
      <c r="Q33" s="37"/>
      <c r="R33" s="37"/>
      <c r="S33" s="37"/>
      <c r="T33" s="37"/>
    </row>
    <row r="34" spans="1:20">
      <c r="A34" s="10" t="s">
        <v>274</v>
      </c>
      <c r="B34" s="27"/>
      <c r="C34" s="8"/>
      <c r="D34" s="8"/>
      <c r="E34" s="12">
        <v>360</v>
      </c>
      <c r="F34" s="9"/>
      <c r="G34" s="35"/>
      <c r="H34" s="35"/>
      <c r="I34" s="37" t="s">
        <v>305</v>
      </c>
      <c r="J34" s="200"/>
      <c r="K34" s="202"/>
      <c r="L34" s="200"/>
      <c r="M34" s="200"/>
      <c r="N34" s="200"/>
      <c r="O34" s="200"/>
      <c r="P34" s="37"/>
      <c r="Q34" s="37"/>
      <c r="R34" s="37"/>
      <c r="S34" s="37"/>
      <c r="T34" s="37"/>
    </row>
    <row r="35" spans="1:20">
      <c r="A35" s="10"/>
      <c r="B35" s="27"/>
      <c r="C35" s="8"/>
      <c r="D35" s="8"/>
      <c r="E35" s="32"/>
      <c r="F35" s="9"/>
      <c r="G35" s="35"/>
      <c r="H35" s="35"/>
      <c r="I35" s="40" t="s">
        <v>123</v>
      </c>
      <c r="J35" s="11">
        <v>48</v>
      </c>
      <c r="K35" s="42"/>
      <c r="L35" s="11">
        <v>1.4</v>
      </c>
      <c r="M35" s="11">
        <v>0</v>
      </c>
      <c r="N35" s="11">
        <v>0</v>
      </c>
      <c r="O35" s="11">
        <v>0.9</v>
      </c>
      <c r="P35" s="37"/>
      <c r="Q35" s="163">
        <f>L35*$J$35</f>
        <v>67.199999999999989</v>
      </c>
      <c r="R35" s="163">
        <f>M35*$J$35</f>
        <v>0</v>
      </c>
      <c r="S35" s="163">
        <f>N35*$J$35</f>
        <v>0</v>
      </c>
      <c r="T35" s="163">
        <f>O35*$J$35</f>
        <v>43.2</v>
      </c>
    </row>
    <row r="36" spans="1:20">
      <c r="A36" s="10" t="s">
        <v>275</v>
      </c>
      <c r="B36" s="27"/>
      <c r="C36" s="8"/>
      <c r="D36" s="8"/>
      <c r="E36" s="12">
        <v>46</v>
      </c>
      <c r="F36" s="9"/>
      <c r="G36" s="35"/>
      <c r="H36" s="35"/>
      <c r="I36" s="40" t="s">
        <v>124</v>
      </c>
      <c r="J36" s="11">
        <v>48</v>
      </c>
      <c r="K36" s="42"/>
      <c r="L36" s="11">
        <v>2.2999999999999998</v>
      </c>
      <c r="M36" s="11">
        <v>0</v>
      </c>
      <c r="N36" s="11">
        <v>0</v>
      </c>
      <c r="O36" s="11">
        <v>1.4</v>
      </c>
      <c r="P36" s="37"/>
      <c r="Q36" s="163">
        <f>L36*$J$36</f>
        <v>110.39999999999999</v>
      </c>
      <c r="R36" s="163">
        <f>M36*$J$36</f>
        <v>0</v>
      </c>
      <c r="S36" s="163">
        <f>N36*$J$36</f>
        <v>0</v>
      </c>
      <c r="T36" s="163">
        <f>O36*$J$36</f>
        <v>67.199999999999989</v>
      </c>
    </row>
    <row r="37" spans="1:20">
      <c r="A37" s="10" t="s">
        <v>317</v>
      </c>
      <c r="B37" s="27"/>
      <c r="C37" s="8"/>
      <c r="D37" s="8"/>
      <c r="E37" s="9"/>
      <c r="F37" s="9"/>
      <c r="G37" s="35"/>
      <c r="H37" s="35"/>
      <c r="I37" s="40" t="s">
        <v>125</v>
      </c>
      <c r="J37" s="11">
        <v>72</v>
      </c>
      <c r="K37" s="42"/>
      <c r="L37" s="11">
        <v>1.8</v>
      </c>
      <c r="M37" s="11">
        <v>0.9</v>
      </c>
      <c r="N37" s="11">
        <v>0</v>
      </c>
      <c r="O37" s="11">
        <v>2.2999999999999998</v>
      </c>
      <c r="P37" s="37"/>
      <c r="Q37" s="163">
        <f>L37*$J$37</f>
        <v>129.6</v>
      </c>
      <c r="R37" s="163">
        <f>M37*$J$37</f>
        <v>64.8</v>
      </c>
      <c r="S37" s="163">
        <f>N37*$J$37</f>
        <v>0</v>
      </c>
      <c r="T37" s="163">
        <f>O37*$J$37</f>
        <v>165.6</v>
      </c>
    </row>
    <row r="38" spans="1:20">
      <c r="A38" s="33" t="s">
        <v>87</v>
      </c>
      <c r="B38" s="28"/>
      <c r="C38" s="28"/>
      <c r="D38" s="28"/>
      <c r="E38" s="28"/>
      <c r="F38" s="28"/>
      <c r="G38" s="34"/>
      <c r="H38" s="35"/>
      <c r="I38" s="40" t="s">
        <v>126</v>
      </c>
      <c r="J38" s="11">
        <v>48</v>
      </c>
      <c r="K38" s="42"/>
      <c r="L38" s="11">
        <v>1.8</v>
      </c>
      <c r="M38" s="11">
        <v>1.8</v>
      </c>
      <c r="N38" s="11">
        <v>0</v>
      </c>
      <c r="O38" s="11">
        <v>2.7</v>
      </c>
      <c r="P38" s="37"/>
      <c r="Q38" s="163">
        <f>L38*$J$38</f>
        <v>86.4</v>
      </c>
      <c r="R38" s="163">
        <f>M38*$J$38</f>
        <v>86.4</v>
      </c>
      <c r="S38" s="163">
        <f>N38*$J$38</f>
        <v>0</v>
      </c>
      <c r="T38" s="163">
        <f>O38*$J$38</f>
        <v>129.60000000000002</v>
      </c>
    </row>
    <row r="39" spans="1:20">
      <c r="H39" s="35"/>
      <c r="I39" s="40" t="s">
        <v>306</v>
      </c>
      <c r="J39" s="11">
        <v>156</v>
      </c>
      <c r="K39" s="42"/>
      <c r="L39" s="11">
        <v>3.2</v>
      </c>
      <c r="M39" s="11">
        <v>1.8</v>
      </c>
      <c r="N39" s="11">
        <v>0</v>
      </c>
      <c r="O39" s="11">
        <v>4.0999999999999996</v>
      </c>
      <c r="P39" s="37"/>
      <c r="Q39" s="163">
        <f>L39*$J$39</f>
        <v>499.20000000000005</v>
      </c>
      <c r="R39" s="163">
        <f>M39*$J$39</f>
        <v>280.8</v>
      </c>
      <c r="S39" s="163">
        <f>N39*$J$39</f>
        <v>0</v>
      </c>
      <c r="T39" s="163">
        <f>O39*$J$39</f>
        <v>639.59999999999991</v>
      </c>
    </row>
    <row r="40" spans="1:20">
      <c r="A40" s="13" t="s">
        <v>101</v>
      </c>
      <c r="B40" s="14"/>
      <c r="C40" s="15"/>
      <c r="D40" s="15"/>
      <c r="E40" s="16"/>
      <c r="F40" s="16"/>
      <c r="G40" s="17"/>
      <c r="H40" s="35"/>
      <c r="I40" s="38" t="s">
        <v>5</v>
      </c>
      <c r="J40" s="201" t="s">
        <v>5</v>
      </c>
      <c r="K40" s="206" t="s">
        <v>5</v>
      </c>
      <c r="L40" s="201" t="s">
        <v>5</v>
      </c>
      <c r="M40" s="201" t="s">
        <v>5</v>
      </c>
      <c r="N40" s="201" t="s">
        <v>5</v>
      </c>
      <c r="O40" s="201" t="s">
        <v>5</v>
      </c>
      <c r="P40" s="38" t="s">
        <v>5</v>
      </c>
      <c r="Q40" s="38" t="s">
        <v>5</v>
      </c>
      <c r="R40" s="38" t="s">
        <v>5</v>
      </c>
      <c r="S40" s="38" t="s">
        <v>5</v>
      </c>
      <c r="T40" s="38" t="s">
        <v>5</v>
      </c>
    </row>
    <row r="41" spans="1:20">
      <c r="A41" s="18" t="s">
        <v>5</v>
      </c>
      <c r="B41" s="19" t="s">
        <v>5</v>
      </c>
      <c r="C41" s="20" t="s">
        <v>5</v>
      </c>
      <c r="D41" s="20" t="s">
        <v>5</v>
      </c>
      <c r="E41" s="21" t="s">
        <v>5</v>
      </c>
      <c r="F41" s="21" t="s">
        <v>5</v>
      </c>
      <c r="G41" s="18" t="s">
        <v>5</v>
      </c>
      <c r="H41" s="35"/>
      <c r="I41" s="37" t="s">
        <v>305</v>
      </c>
      <c r="J41" s="200" t="s">
        <v>16</v>
      </c>
      <c r="K41" s="202">
        <f>SUM(J35:J39)</f>
        <v>372</v>
      </c>
      <c r="L41" s="200"/>
      <c r="M41" s="200"/>
      <c r="N41" s="200"/>
      <c r="O41" s="200"/>
      <c r="P41" s="37"/>
      <c r="Q41" s="37"/>
      <c r="R41" s="37"/>
      <c r="S41" s="37"/>
      <c r="T41" s="37"/>
    </row>
    <row r="42" spans="1:20">
      <c r="A42" s="67"/>
      <c r="B42" s="67" t="s">
        <v>277</v>
      </c>
      <c r="C42" s="68" t="s">
        <v>280</v>
      </c>
      <c r="D42" s="68" t="s">
        <v>282</v>
      </c>
      <c r="E42" s="69" t="s">
        <v>286</v>
      </c>
      <c r="F42" s="69" t="s">
        <v>286</v>
      </c>
      <c r="G42" s="67" t="s">
        <v>289</v>
      </c>
      <c r="H42" s="35"/>
      <c r="I42" s="37"/>
      <c r="J42" s="200"/>
      <c r="K42" s="202"/>
      <c r="L42" s="200"/>
      <c r="M42" s="200"/>
      <c r="N42" s="200"/>
      <c r="O42" s="200"/>
      <c r="P42" s="37"/>
      <c r="Q42" s="37"/>
      <c r="R42" s="37"/>
      <c r="S42" s="37"/>
      <c r="T42" s="37"/>
    </row>
    <row r="43" spans="1:20">
      <c r="A43" s="67" t="s">
        <v>103</v>
      </c>
      <c r="B43" s="70" t="s">
        <v>278</v>
      </c>
      <c r="C43" s="71" t="s">
        <v>105</v>
      </c>
      <c r="D43" s="68" t="s">
        <v>283</v>
      </c>
      <c r="E43" s="69" t="s">
        <v>287</v>
      </c>
      <c r="F43" s="69" t="s">
        <v>288</v>
      </c>
      <c r="G43" s="67" t="s">
        <v>290</v>
      </c>
      <c r="H43" s="35"/>
      <c r="I43" s="37"/>
      <c r="J43" s="37"/>
      <c r="K43" s="202"/>
      <c r="L43" s="37"/>
      <c r="M43" s="37"/>
      <c r="N43" s="37"/>
      <c r="O43" s="37"/>
      <c r="P43" s="37"/>
      <c r="Q43" s="37"/>
      <c r="R43" s="37"/>
      <c r="S43" s="37"/>
      <c r="T43" s="37"/>
    </row>
    <row r="44" spans="1:20">
      <c r="A44" s="67" t="s">
        <v>276</v>
      </c>
      <c r="B44" s="70" t="s">
        <v>279</v>
      </c>
      <c r="C44" s="68" t="s">
        <v>66</v>
      </c>
      <c r="D44" s="68"/>
      <c r="E44" s="69" t="s">
        <v>326</v>
      </c>
      <c r="F44" s="69" t="s">
        <v>318</v>
      </c>
      <c r="G44" s="67" t="s">
        <v>291</v>
      </c>
      <c r="H44" s="35"/>
      <c r="I44" s="37"/>
      <c r="J44" s="37"/>
      <c r="K44" s="202"/>
      <c r="L44" s="37"/>
      <c r="M44" s="37"/>
      <c r="N44" s="37" t="s">
        <v>323</v>
      </c>
      <c r="O44" s="51"/>
      <c r="P44" s="37"/>
      <c r="Q44" s="36">
        <f>SUM(Q14:Q39)</f>
        <v>2838.2</v>
      </c>
      <c r="R44" s="36">
        <f>SUM(R14:R39)</f>
        <v>1362.6</v>
      </c>
      <c r="S44" s="36">
        <f>SUM(S14:S39)</f>
        <v>372</v>
      </c>
      <c r="T44" s="36">
        <f>SUM(T14:T39)</f>
        <v>3117.5999999999995</v>
      </c>
    </row>
    <row r="45" spans="1:20">
      <c r="A45" s="67"/>
      <c r="B45" s="70"/>
      <c r="C45" s="67" t="s">
        <v>281</v>
      </c>
      <c r="D45" s="67" t="s">
        <v>110</v>
      </c>
      <c r="E45" s="69" t="s">
        <v>325</v>
      </c>
      <c r="F45" s="69" t="s">
        <v>319</v>
      </c>
      <c r="G45" s="67"/>
      <c r="H45" s="35"/>
      <c r="P45" s="45"/>
    </row>
    <row r="46" spans="1:20">
      <c r="A46" s="67" t="s">
        <v>110</v>
      </c>
      <c r="B46" s="67" t="s">
        <v>110</v>
      </c>
      <c r="C46" s="68"/>
      <c r="D46" s="68" t="s">
        <v>284</v>
      </c>
      <c r="E46" s="69" t="s">
        <v>285</v>
      </c>
      <c r="F46" s="69" t="s">
        <v>285</v>
      </c>
      <c r="G46" s="67" t="s">
        <v>72</v>
      </c>
      <c r="H46" s="35"/>
    </row>
    <row r="47" spans="1:20">
      <c r="A47" s="18" t="s">
        <v>5</v>
      </c>
      <c r="B47" s="19" t="s">
        <v>5</v>
      </c>
      <c r="C47" s="20" t="s">
        <v>5</v>
      </c>
      <c r="D47" s="20" t="s">
        <v>5</v>
      </c>
      <c r="E47" s="21" t="s">
        <v>5</v>
      </c>
      <c r="F47" s="21" t="s">
        <v>5</v>
      </c>
      <c r="G47" s="18" t="s">
        <v>5</v>
      </c>
      <c r="H47" s="35"/>
    </row>
    <row r="48" spans="1:20">
      <c r="A48" s="17">
        <v>1.5</v>
      </c>
      <c r="B48" s="103">
        <f>IF(($E$19)/($E$32*$A48*$E$28*(1-($E$30/100)))&lt;2*$E$15,"No Usar",($E$19)/($E$32*$A48*$E$28*(1-($E$30/100))))</f>
        <v>25.990400458485574</v>
      </c>
      <c r="C48" s="93">
        <f>IF(B48="No Usar","No Usar",ROUND(((+$E$32)*($E$34/($E$36-$A48*3))+0.4),0))</f>
        <v>3</v>
      </c>
      <c r="D48" s="105">
        <f>IF(B48="No Usar","No Usar",((($E$19*$E$34/(1-($E$22+$E$25+$G$32)/100))/($E$28*(1-($E$30/100)))/($C48*($B48*$A48))+3*$A48)))</f>
        <v>47.52480111258248</v>
      </c>
      <c r="E48" s="22">
        <f>IF(B48="No Usar","No Usar",($E$19/(1-($E$22+$E$25+$G$32)/100)*($E$34/1000)*(1+0.0225*($B48/$I$53-1))))</f>
        <v>1208.6356750334269</v>
      </c>
      <c r="F48" s="22">
        <f>IF(B48="No Usar","No Usar",+$E48*($E$22+$E$25+$G$32+2.25*($B48/$I$53-1))/100)</f>
        <v>236.49772690450985</v>
      </c>
      <c r="G48" s="22">
        <f>IF(B48="No Usar","No Usar",($F48/$E48)*100)</f>
        <v>19.567329658539915</v>
      </c>
      <c r="H48" s="35"/>
    </row>
    <row r="49" spans="1:9">
      <c r="A49" s="17">
        <v>2</v>
      </c>
      <c r="B49" s="103">
        <f t="shared" ref="B49:B61" si="0">IF(($E$19)/($E$32*$A49*$E$28*(1-($E$30/100)))&lt;2*$E$15,"No Usar",($E$19)/($E$32*$A49*$E$28*(1-($E$30/100))))</f>
        <v>19.492800343864179</v>
      </c>
      <c r="C49" s="93">
        <f t="shared" ref="C49:C61" si="1">IF(B49="No Usar","No Usar",ROUND(((+$E$32)*($E$34/($E$36-$A49*3))+0.4),0))</f>
        <v>3</v>
      </c>
      <c r="D49" s="105">
        <f t="shared" ref="D49:D61" si="2">IF(B49="No Usar","No Usar",((($E$19*$E$34/(1-($E$22+$E$25+$G$32)/100))/($E$28*(1-($E$30/100)))/($C49*($B49*$A49))+3*$A49)))</f>
        <v>49.024801112582487</v>
      </c>
      <c r="E49" s="22">
        <f t="shared" ref="E49:E61" si="3">IF(B49="No Usar","No Usar",($E$19/(1-($E$22+$E$25+$G$32)/100)*($E$34/1000)*(1+0.0225*($B49/$I$53-1))))</f>
        <v>1192.5677511281249</v>
      </c>
      <c r="F49" s="22">
        <f t="shared" ref="F49:F61" si="4">IF(B49="No Usar","No Usar",+$E49*($E$22+$E$25+$G$32+2.25*($B49/$I$53-1))/100)</f>
        <v>216.98567088044251</v>
      </c>
      <c r="G49" s="22">
        <f t="shared" ref="G49:G61" si="5">IF(B49="No Usar","No Usar",($F49/$E49)*100)</f>
        <v>18.194829658539913</v>
      </c>
      <c r="H49" s="35"/>
    </row>
    <row r="50" spans="1:9">
      <c r="A50" s="17">
        <v>2.5</v>
      </c>
      <c r="B50" s="103">
        <f t="shared" si="0"/>
        <v>15.594240275091341</v>
      </c>
      <c r="C50" s="93">
        <f t="shared" si="1"/>
        <v>3</v>
      </c>
      <c r="D50" s="105">
        <f t="shared" si="2"/>
        <v>50.524801112582495</v>
      </c>
      <c r="E50" s="22">
        <f t="shared" si="3"/>
        <v>1182.9269967849436</v>
      </c>
      <c r="F50" s="22">
        <f t="shared" si="4"/>
        <v>205.49014823137841</v>
      </c>
      <c r="G50" s="22">
        <f t="shared" si="5"/>
        <v>17.371329658539914</v>
      </c>
      <c r="H50" s="35"/>
    </row>
    <row r="51" spans="1:9">
      <c r="A51" s="24">
        <v>3</v>
      </c>
      <c r="B51" s="103">
        <f t="shared" si="0"/>
        <v>12.995200229242787</v>
      </c>
      <c r="C51" s="93">
        <f t="shared" si="1"/>
        <v>3</v>
      </c>
      <c r="D51" s="105">
        <f t="shared" si="2"/>
        <v>52.02480111258248</v>
      </c>
      <c r="E51" s="22">
        <f t="shared" si="3"/>
        <v>1176.4998272228229</v>
      </c>
      <c r="F51" s="22">
        <f t="shared" si="4"/>
        <v>197.91467936757579</v>
      </c>
      <c r="G51" s="22">
        <f t="shared" si="5"/>
        <v>16.822329658539914</v>
      </c>
      <c r="H51" s="99"/>
    </row>
    <row r="52" spans="1:9">
      <c r="A52" s="17">
        <v>3.5</v>
      </c>
      <c r="B52" s="103">
        <f t="shared" si="0"/>
        <v>11.138743053636672</v>
      </c>
      <c r="C52" s="93">
        <f t="shared" si="1"/>
        <v>3</v>
      </c>
      <c r="D52" s="105">
        <f t="shared" si="2"/>
        <v>53.524801112582495</v>
      </c>
      <c r="E52" s="22">
        <f t="shared" si="3"/>
        <v>1171.9089918213078</v>
      </c>
      <c r="F52" s="22">
        <f t="shared" si="4"/>
        <v>192.54683649860982</v>
      </c>
      <c r="G52" s="22">
        <f t="shared" si="5"/>
        <v>16.430186801397056</v>
      </c>
      <c r="H52" s="35"/>
    </row>
    <row r="53" spans="1:9">
      <c r="A53" s="25">
        <v>3.66</v>
      </c>
      <c r="B53" s="104">
        <f t="shared" si="0"/>
        <v>10.651803466592446</v>
      </c>
      <c r="C53" s="101">
        <f t="shared" si="1"/>
        <v>3</v>
      </c>
      <c r="D53" s="104">
        <f t="shared" si="2"/>
        <v>54.004801112582498</v>
      </c>
      <c r="E53" s="102">
        <f t="shared" si="3"/>
        <v>1170.7048382733697</v>
      </c>
      <c r="F53" s="102">
        <f t="shared" si="4"/>
        <v>191.1448382733696</v>
      </c>
      <c r="G53" s="102">
        <f t="shared" si="5"/>
        <v>16.327329658539913</v>
      </c>
      <c r="H53" s="88" t="s">
        <v>73</v>
      </c>
      <c r="I53" s="193">
        <f>($E$19)/($E$32*A53*$E$28*(1-($E$30/100)))</f>
        <v>10.651803466592446</v>
      </c>
    </row>
    <row r="54" spans="1:9">
      <c r="A54" s="17">
        <v>4</v>
      </c>
      <c r="B54" s="103">
        <f t="shared" si="0"/>
        <v>9.7464001719320894</v>
      </c>
      <c r="C54" s="93">
        <f t="shared" si="1"/>
        <v>4</v>
      </c>
      <c r="D54" s="105">
        <f t="shared" si="2"/>
        <v>44.268600834436867</v>
      </c>
      <c r="E54" s="22">
        <f t="shared" si="3"/>
        <v>1168.4658652701719</v>
      </c>
      <c r="F54" s="22">
        <f t="shared" si="4"/>
        <v>188.5445828028426</v>
      </c>
      <c r="G54" s="22">
        <f t="shared" si="5"/>
        <v>16.136079658539913</v>
      </c>
      <c r="H54" s="100"/>
    </row>
    <row r="55" spans="1:9">
      <c r="A55" s="17">
        <v>4.5</v>
      </c>
      <c r="B55" s="103">
        <f t="shared" si="0"/>
        <v>8.6634668194951896</v>
      </c>
      <c r="C55" s="93">
        <f t="shared" si="1"/>
        <v>4</v>
      </c>
      <c r="D55" s="105">
        <f t="shared" si="2"/>
        <v>45.768600834436867</v>
      </c>
      <c r="E55" s="22">
        <f t="shared" si="3"/>
        <v>1165.7878779526216</v>
      </c>
      <c r="F55" s="22">
        <f t="shared" si="4"/>
        <v>185.44572086522047</v>
      </c>
      <c r="G55" s="22">
        <f t="shared" si="5"/>
        <v>15.907329658539915</v>
      </c>
      <c r="H55" s="100"/>
    </row>
    <row r="56" spans="1:9">
      <c r="A56" s="17">
        <v>5</v>
      </c>
      <c r="B56" s="103">
        <f t="shared" si="0"/>
        <v>7.7971201375456705</v>
      </c>
      <c r="C56" s="93">
        <f t="shared" si="1"/>
        <v>4</v>
      </c>
      <c r="D56" s="105">
        <f t="shared" si="2"/>
        <v>47.268600834436867</v>
      </c>
      <c r="E56" s="22">
        <f t="shared" si="3"/>
        <v>1163.6454880985812</v>
      </c>
      <c r="F56" s="22">
        <f t="shared" si="4"/>
        <v>182.97545260534673</v>
      </c>
      <c r="G56" s="22">
        <f t="shared" si="5"/>
        <v>15.724329658539911</v>
      </c>
      <c r="H56" s="100"/>
    </row>
    <row r="57" spans="1:9">
      <c r="A57" s="17">
        <v>5.5</v>
      </c>
      <c r="B57" s="103">
        <f t="shared" si="0"/>
        <v>7.0882910341324274</v>
      </c>
      <c r="C57" s="93">
        <f t="shared" si="1"/>
        <v>4</v>
      </c>
      <c r="D57" s="105">
        <f t="shared" si="2"/>
        <v>48.768600834436867</v>
      </c>
      <c r="E57" s="22">
        <f t="shared" si="3"/>
        <v>1161.8926236725483</v>
      </c>
      <c r="F57" s="22">
        <f t="shared" si="4"/>
        <v>180.96015628708582</v>
      </c>
      <c r="G57" s="22">
        <f t="shared" si="5"/>
        <v>15.574602385812641</v>
      </c>
      <c r="H57" s="100"/>
    </row>
    <row r="58" spans="1:9">
      <c r="A58" s="17">
        <v>6</v>
      </c>
      <c r="B58" s="103">
        <f t="shared" si="0"/>
        <v>6.4976001146213935</v>
      </c>
      <c r="C58" s="93">
        <f t="shared" si="1"/>
        <v>4</v>
      </c>
      <c r="D58" s="105">
        <f t="shared" si="2"/>
        <v>50.26860083443686</v>
      </c>
      <c r="E58" s="22">
        <f t="shared" si="3"/>
        <v>1160.4319033175209</v>
      </c>
      <c r="F58" s="22">
        <f t="shared" si="4"/>
        <v>179.28475236590955</v>
      </c>
      <c r="G58" s="22">
        <f t="shared" si="5"/>
        <v>15.449829658539912</v>
      </c>
      <c r="H58" s="100"/>
    </row>
    <row r="59" spans="1:9">
      <c r="A59" s="17">
        <v>6.5</v>
      </c>
      <c r="B59" s="103">
        <f t="shared" si="0"/>
        <v>5.9977847211889772</v>
      </c>
      <c r="C59" s="93">
        <f t="shared" si="1"/>
        <v>4</v>
      </c>
      <c r="D59" s="105">
        <f t="shared" si="2"/>
        <v>51.768600834436867</v>
      </c>
      <c r="E59" s="22">
        <f t="shared" si="3"/>
        <v>1159.1959091709591</v>
      </c>
      <c r="F59" s="22">
        <f t="shared" si="4"/>
        <v>177.86995000233998</v>
      </c>
      <c r="G59" s="22">
        <f t="shared" si="5"/>
        <v>15.344252735462991</v>
      </c>
      <c r="H59" s="35"/>
    </row>
    <row r="60" spans="1:9">
      <c r="A60" s="17">
        <v>7</v>
      </c>
      <c r="B60" s="103">
        <f t="shared" si="0"/>
        <v>5.5693715268183359</v>
      </c>
      <c r="C60" s="93">
        <f t="shared" si="1"/>
        <v>5</v>
      </c>
      <c r="D60" s="105">
        <f t="shared" si="2"/>
        <v>46.814880667549495</v>
      </c>
      <c r="E60" s="22">
        <f t="shared" si="3"/>
        <v>1158.1364856167634</v>
      </c>
      <c r="F60" s="22">
        <f t="shared" si="4"/>
        <v>176.65933948903483</v>
      </c>
      <c r="G60" s="22">
        <f t="shared" si="5"/>
        <v>15.253758229968486</v>
      </c>
    </row>
    <row r="61" spans="1:9">
      <c r="A61" s="17">
        <v>7.5</v>
      </c>
      <c r="B61" s="103" t="str">
        <f t="shared" si="0"/>
        <v>No Usar</v>
      </c>
      <c r="C61" s="93" t="str">
        <f t="shared" si="1"/>
        <v>No Usar</v>
      </c>
      <c r="D61" s="105" t="str">
        <f t="shared" si="2"/>
        <v>No Usar</v>
      </c>
      <c r="E61" s="22" t="str">
        <f t="shared" si="3"/>
        <v>No Usar</v>
      </c>
      <c r="F61" s="22" t="str">
        <f t="shared" si="4"/>
        <v>No Usar</v>
      </c>
      <c r="G61" s="22" t="str">
        <f t="shared" si="5"/>
        <v>No Usar</v>
      </c>
    </row>
    <row r="62" spans="1:9">
      <c r="A62" s="18" t="s">
        <v>5</v>
      </c>
      <c r="B62" s="19" t="s">
        <v>5</v>
      </c>
      <c r="C62" s="20" t="s">
        <v>5</v>
      </c>
      <c r="D62" s="20" t="s">
        <v>5</v>
      </c>
      <c r="E62" s="21" t="s">
        <v>5</v>
      </c>
      <c r="F62" s="21" t="s">
        <v>5</v>
      </c>
      <c r="G62" s="18" t="s">
        <v>5</v>
      </c>
      <c r="H62" s="35"/>
    </row>
    <row r="63" spans="1:9">
      <c r="A63" s="5" t="s">
        <v>320</v>
      </c>
      <c r="B63" s="1"/>
      <c r="C63" s="2"/>
      <c r="D63" s="2"/>
      <c r="E63" s="3"/>
      <c r="F63" s="3"/>
    </row>
    <row r="64" spans="1:9">
      <c r="A64" s="5" t="s">
        <v>292</v>
      </c>
      <c r="B64" s="1"/>
      <c r="C64" s="2"/>
      <c r="D64" s="2"/>
      <c r="E64" s="3"/>
      <c r="F64" s="3"/>
    </row>
  </sheetData>
  <sheetProtection sheet="1" objects="1" scenarios="1"/>
  <dataValidations count="1">
    <dataValidation type="list" allowBlank="1" showInputMessage="1" showErrorMessage="1" sqref="E17" xr:uid="{00000000-0002-0000-0500-000000000000}">
      <formula1>"Ensilaje de Alfalfa/Pasto 1, Ensilaje de Alfalfa/Pasto 2, Ensilaje de Alfalfa/Pasto 3, Ensilaje Maiz, Mi Ensilaje"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T67"/>
  <sheetViews>
    <sheetView zoomScale="80" zoomScaleNormal="80" zoomScalePageLayoutView="80" workbookViewId="0"/>
  </sheetViews>
  <sheetFormatPr defaultColWidth="8.85546875" defaultRowHeight="12.75"/>
  <cols>
    <col min="1" max="1" width="26" customWidth="1"/>
    <col min="2" max="2" width="29.42578125" customWidth="1"/>
    <col min="3" max="3" width="22.140625" customWidth="1"/>
    <col min="4" max="4" width="22" customWidth="1"/>
    <col min="5" max="5" width="51.140625" customWidth="1"/>
    <col min="6" max="6" width="19.85546875" customWidth="1"/>
    <col min="7" max="7" width="18.7109375" customWidth="1"/>
    <col min="8" max="8" width="15.28515625" customWidth="1"/>
    <col min="9" max="9" width="19.42578125" customWidth="1"/>
    <col min="12" max="12" width="14.140625" customWidth="1"/>
    <col min="13" max="13" width="13.7109375" customWidth="1"/>
    <col min="14" max="14" width="14" customWidth="1"/>
    <col min="16" max="16" width="13.42578125" customWidth="1"/>
    <col min="17" max="17" width="12.7109375" customWidth="1"/>
    <col min="18" max="18" width="14" customWidth="1"/>
    <col min="19" max="19" width="13.7109375" customWidth="1"/>
  </cols>
  <sheetData>
    <row r="1" spans="1:20">
      <c r="A1" s="45" t="s">
        <v>438</v>
      </c>
      <c r="B1" s="1"/>
      <c r="C1" s="2"/>
      <c r="D1" s="2"/>
      <c r="E1" s="3"/>
      <c r="F1" s="3"/>
    </row>
    <row r="2" spans="1:20">
      <c r="B2" s="7" t="s">
        <v>473</v>
      </c>
      <c r="C2" s="2"/>
      <c r="D2" s="2"/>
      <c r="E2" s="3"/>
      <c r="F2" s="3"/>
    </row>
    <row r="3" spans="1:20">
      <c r="A3" t="s">
        <v>1</v>
      </c>
      <c r="B3" s="1"/>
      <c r="C3" s="2"/>
      <c r="D3" s="2"/>
      <c r="E3" s="3"/>
      <c r="F3" s="3"/>
      <c r="L3" s="35"/>
    </row>
    <row r="4" spans="1:20">
      <c r="A4" t="s">
        <v>310</v>
      </c>
      <c r="B4" s="1"/>
      <c r="C4" s="2"/>
      <c r="D4" s="2"/>
      <c r="E4" s="3"/>
      <c r="F4" s="3"/>
    </row>
    <row r="5" spans="1:20">
      <c r="A5" t="s">
        <v>439</v>
      </c>
      <c r="B5" s="1"/>
      <c r="C5" s="2"/>
      <c r="D5" s="2"/>
      <c r="E5" s="3"/>
      <c r="F5" s="3"/>
    </row>
    <row r="6" spans="1:20">
      <c r="A6" t="s">
        <v>4</v>
      </c>
      <c r="B6" s="1"/>
      <c r="C6" s="2"/>
      <c r="D6" s="2"/>
      <c r="E6" s="3"/>
      <c r="F6" s="3"/>
      <c r="H6" s="35"/>
      <c r="I6" s="36" t="s">
        <v>440</v>
      </c>
      <c r="J6" s="37"/>
      <c r="K6" s="37"/>
      <c r="L6" s="37"/>
      <c r="M6" s="37"/>
      <c r="N6" s="37"/>
      <c r="O6" s="37"/>
      <c r="P6" s="37"/>
      <c r="Q6" s="37"/>
      <c r="R6" s="37"/>
      <c r="S6" s="37"/>
      <c r="T6" s="37"/>
    </row>
    <row r="7" spans="1:20">
      <c r="A7" t="s">
        <v>89</v>
      </c>
      <c r="B7" s="1"/>
      <c r="C7" s="2"/>
      <c r="D7" s="2"/>
      <c r="E7" s="3"/>
      <c r="F7" s="3"/>
      <c r="H7" s="35"/>
      <c r="I7" s="38" t="s">
        <v>5</v>
      </c>
      <c r="J7" s="38" t="s">
        <v>5</v>
      </c>
      <c r="K7" s="38" t="s">
        <v>5</v>
      </c>
      <c r="L7" s="38" t="s">
        <v>5</v>
      </c>
      <c r="M7" s="38" t="s">
        <v>5</v>
      </c>
      <c r="N7" s="38" t="s">
        <v>5</v>
      </c>
      <c r="O7" s="38" t="s">
        <v>5</v>
      </c>
      <c r="P7" s="38" t="s">
        <v>5</v>
      </c>
      <c r="Q7" s="38" t="s">
        <v>5</v>
      </c>
      <c r="R7" s="38" t="s">
        <v>5</v>
      </c>
      <c r="S7" s="38" t="s">
        <v>5</v>
      </c>
      <c r="T7" s="38" t="s">
        <v>5</v>
      </c>
    </row>
    <row r="8" spans="1:20">
      <c r="A8" t="s">
        <v>75</v>
      </c>
      <c r="B8" s="1"/>
      <c r="C8" s="2"/>
      <c r="D8" s="2"/>
      <c r="E8" s="3"/>
      <c r="F8" s="3"/>
      <c r="H8" s="35"/>
      <c r="I8" s="228" t="s">
        <v>441</v>
      </c>
      <c r="J8" s="37"/>
      <c r="K8" s="37"/>
      <c r="L8" s="40" t="s">
        <v>328</v>
      </c>
      <c r="M8" s="40" t="s">
        <v>328</v>
      </c>
      <c r="N8" s="40" t="s">
        <v>328</v>
      </c>
      <c r="O8" s="40" t="s">
        <v>307</v>
      </c>
      <c r="P8" s="40"/>
      <c r="Q8" s="40" t="s">
        <v>328</v>
      </c>
      <c r="R8" s="40" t="s">
        <v>328</v>
      </c>
      <c r="S8" s="40" t="s">
        <v>328</v>
      </c>
      <c r="T8" s="40" t="s">
        <v>307</v>
      </c>
    </row>
    <row r="9" spans="1:20">
      <c r="B9" s="1"/>
      <c r="C9" s="2"/>
      <c r="E9" s="44"/>
      <c r="F9" s="44"/>
      <c r="G9" s="35"/>
      <c r="H9" s="35"/>
      <c r="I9" s="228"/>
      <c r="J9" s="37" t="s">
        <v>321</v>
      </c>
      <c r="K9" s="37"/>
      <c r="L9" s="40" t="s">
        <v>327</v>
      </c>
      <c r="M9" s="40" t="s">
        <v>329</v>
      </c>
      <c r="N9" s="40" t="s">
        <v>330</v>
      </c>
      <c r="O9" s="40" t="s">
        <v>308</v>
      </c>
      <c r="P9" s="40"/>
      <c r="Q9" s="40" t="s">
        <v>327</v>
      </c>
      <c r="R9" s="40" t="s">
        <v>329</v>
      </c>
      <c r="S9" s="40" t="s">
        <v>330</v>
      </c>
      <c r="T9" s="40" t="s">
        <v>308</v>
      </c>
    </row>
    <row r="10" spans="1:20" ht="15">
      <c r="B10" s="1"/>
      <c r="C10" s="2"/>
      <c r="D10" s="2"/>
      <c r="E10" s="3"/>
      <c r="F10" s="3"/>
      <c r="H10" s="35"/>
      <c r="I10" s="228"/>
      <c r="J10" s="37" t="s">
        <v>129</v>
      </c>
      <c r="K10" s="37"/>
      <c r="L10" s="198"/>
      <c r="M10" s="40"/>
      <c r="N10" s="40"/>
      <c r="O10" s="40"/>
      <c r="P10" s="40"/>
      <c r="Q10" s="40"/>
      <c r="R10" s="40"/>
      <c r="S10" s="40"/>
      <c r="T10" s="40"/>
    </row>
    <row r="11" spans="1:20">
      <c r="B11" s="1"/>
      <c r="C11" s="2"/>
      <c r="D11" s="2"/>
      <c r="E11" s="3"/>
      <c r="F11" s="3"/>
      <c r="H11" s="35"/>
      <c r="I11" s="37" t="s">
        <v>293</v>
      </c>
      <c r="J11" s="37" t="s">
        <v>116</v>
      </c>
      <c r="K11" s="37" t="s">
        <v>16</v>
      </c>
      <c r="L11" s="39" t="s">
        <v>442</v>
      </c>
      <c r="M11" s="37"/>
      <c r="N11" s="37"/>
      <c r="O11" s="37"/>
      <c r="P11" s="37"/>
      <c r="Q11" s="39" t="s">
        <v>443</v>
      </c>
      <c r="R11" s="37"/>
      <c r="S11" s="37"/>
      <c r="T11" s="37"/>
    </row>
    <row r="12" spans="1:20">
      <c r="B12" s="1"/>
      <c r="C12" s="199" t="s">
        <v>444</v>
      </c>
      <c r="D12" s="8"/>
      <c r="E12" s="9"/>
      <c r="F12" s="9"/>
      <c r="G12" s="35"/>
      <c r="H12" s="35"/>
      <c r="I12" s="38" t="s">
        <v>5</v>
      </c>
      <c r="J12" s="38" t="s">
        <v>5</v>
      </c>
      <c r="K12" s="38" t="s">
        <v>5</v>
      </c>
      <c r="L12" s="38" t="s">
        <v>5</v>
      </c>
      <c r="M12" s="38" t="s">
        <v>5</v>
      </c>
      <c r="N12" s="38" t="s">
        <v>5</v>
      </c>
      <c r="O12" s="38" t="s">
        <v>5</v>
      </c>
      <c r="P12" s="38" t="s">
        <v>5</v>
      </c>
      <c r="Q12" s="38" t="s">
        <v>5</v>
      </c>
      <c r="R12" s="38" t="s">
        <v>5</v>
      </c>
      <c r="S12" s="38" t="s">
        <v>5</v>
      </c>
      <c r="T12" s="38" t="s">
        <v>5</v>
      </c>
    </row>
    <row r="13" spans="1:20">
      <c r="A13" s="26" t="s">
        <v>445</v>
      </c>
      <c r="B13" s="27"/>
      <c r="C13" s="8"/>
      <c r="D13" s="8"/>
      <c r="E13" s="9"/>
      <c r="F13" s="9"/>
      <c r="H13" s="35"/>
      <c r="I13" s="37" t="s">
        <v>446</v>
      </c>
      <c r="J13" s="37"/>
      <c r="K13" s="202">
        <f>SUM(J14:J17)</f>
        <v>68</v>
      </c>
      <c r="L13" s="37"/>
      <c r="M13" s="37"/>
      <c r="N13" s="37"/>
      <c r="O13" s="37"/>
      <c r="P13" s="37"/>
      <c r="Q13" s="37"/>
      <c r="R13" s="37"/>
      <c r="S13" s="37"/>
      <c r="T13" s="37"/>
    </row>
    <row r="14" spans="1:20">
      <c r="A14" s="33" t="s">
        <v>92</v>
      </c>
      <c r="B14" s="33" t="s">
        <v>92</v>
      </c>
      <c r="C14" s="33" t="s">
        <v>92</v>
      </c>
      <c r="D14" s="33" t="s">
        <v>92</v>
      </c>
      <c r="E14" s="33" t="s">
        <v>92</v>
      </c>
      <c r="F14" s="33" t="s">
        <v>92</v>
      </c>
      <c r="H14" s="35"/>
      <c r="I14" s="40" t="s">
        <v>447</v>
      </c>
      <c r="J14" s="11">
        <v>8</v>
      </c>
      <c r="K14" s="42"/>
      <c r="L14" s="11">
        <v>5</v>
      </c>
      <c r="M14" s="11">
        <v>5</v>
      </c>
      <c r="N14" s="11">
        <v>0</v>
      </c>
      <c r="O14" s="11">
        <v>0</v>
      </c>
      <c r="P14" s="37"/>
      <c r="Q14" s="163">
        <f>L14*$J$14</f>
        <v>40</v>
      </c>
      <c r="R14" s="163">
        <f>M14*$J$14</f>
        <v>40</v>
      </c>
      <c r="S14" s="163">
        <f>N14*$J$14</f>
        <v>0</v>
      </c>
      <c r="T14" s="163">
        <f>O14*$J$14</f>
        <v>0</v>
      </c>
    </row>
    <row r="15" spans="1:20">
      <c r="A15" s="10" t="s">
        <v>268</v>
      </c>
      <c r="B15" s="27"/>
      <c r="C15" s="8"/>
      <c r="D15" s="8"/>
      <c r="E15" s="12">
        <v>2.7</v>
      </c>
      <c r="F15" s="9"/>
      <c r="G15" s="35"/>
      <c r="H15" s="35"/>
      <c r="I15" s="40" t="s">
        <v>448</v>
      </c>
      <c r="J15" s="11">
        <v>22</v>
      </c>
      <c r="K15" s="42"/>
      <c r="L15" s="11">
        <v>4.5</v>
      </c>
      <c r="M15" s="11">
        <v>4.5</v>
      </c>
      <c r="N15" s="11">
        <v>0</v>
      </c>
      <c r="O15" s="11">
        <v>0</v>
      </c>
      <c r="P15" s="37"/>
      <c r="Q15" s="163">
        <f>L15*$J$15</f>
        <v>99</v>
      </c>
      <c r="R15" s="163">
        <f>M15*$J$15</f>
        <v>99</v>
      </c>
      <c r="S15" s="163">
        <f>N15*$J$15</f>
        <v>0</v>
      </c>
      <c r="T15" s="163">
        <f>O15*$J$15</f>
        <v>0</v>
      </c>
    </row>
    <row r="16" spans="1:20">
      <c r="A16" s="33"/>
      <c r="B16" s="29"/>
      <c r="C16" s="30"/>
      <c r="D16" s="30"/>
      <c r="E16" s="31"/>
      <c r="F16" s="31"/>
      <c r="G16" s="34"/>
      <c r="H16" s="35"/>
      <c r="I16" s="40" t="s">
        <v>449</v>
      </c>
      <c r="J16" s="11">
        <v>22</v>
      </c>
      <c r="K16" s="42"/>
      <c r="L16" s="11">
        <v>4.4000000000000004</v>
      </c>
      <c r="M16" s="11">
        <v>4.4000000000000004</v>
      </c>
      <c r="N16" s="11">
        <v>0</v>
      </c>
      <c r="O16" s="11">
        <v>0</v>
      </c>
      <c r="P16" s="37"/>
      <c r="Q16" s="163">
        <f>L16*$J$16</f>
        <v>96.800000000000011</v>
      </c>
      <c r="R16" s="163">
        <f>M16*$J$16</f>
        <v>96.800000000000011</v>
      </c>
      <c r="S16" s="163">
        <f>N16*$J$16</f>
        <v>0</v>
      </c>
      <c r="T16" s="163">
        <f>O16*$J$16</f>
        <v>0</v>
      </c>
    </row>
    <row r="17" spans="1:20">
      <c r="A17" s="10" t="s">
        <v>450</v>
      </c>
      <c r="B17" s="27"/>
      <c r="C17" s="8"/>
      <c r="D17" s="8"/>
      <c r="E17" s="61" t="s">
        <v>331</v>
      </c>
      <c r="F17" s="53" t="s">
        <v>451</v>
      </c>
      <c r="I17" s="40" t="s">
        <v>452</v>
      </c>
      <c r="J17" s="11">
        <v>16</v>
      </c>
      <c r="K17" s="42"/>
      <c r="L17" s="11">
        <v>6</v>
      </c>
      <c r="M17" s="11">
        <v>6</v>
      </c>
      <c r="N17" s="11">
        <v>0</v>
      </c>
      <c r="O17" s="11">
        <v>2</v>
      </c>
      <c r="P17" s="37"/>
      <c r="Q17" s="163">
        <f>L17*$J$17</f>
        <v>96</v>
      </c>
      <c r="R17" s="163">
        <f>M17*$J$17</f>
        <v>96</v>
      </c>
      <c r="S17" s="163">
        <f>N17*$J$17</f>
        <v>0</v>
      </c>
      <c r="T17" s="163">
        <f>O17*$J$17</f>
        <v>32</v>
      </c>
    </row>
    <row r="18" spans="1:20">
      <c r="A18" s="10"/>
      <c r="B18" s="27"/>
      <c r="C18" s="8"/>
      <c r="D18" s="8"/>
      <c r="E18" s="32"/>
      <c r="F18" s="53" t="s">
        <v>453</v>
      </c>
      <c r="I18" s="37"/>
      <c r="J18" s="43"/>
      <c r="K18" s="42"/>
      <c r="L18" s="43"/>
      <c r="M18" s="43"/>
      <c r="N18" s="43"/>
      <c r="O18" s="43"/>
      <c r="P18" s="37"/>
      <c r="Q18" s="163"/>
      <c r="R18" s="163"/>
      <c r="S18" s="163"/>
      <c r="T18" s="163"/>
    </row>
    <row r="19" spans="1:20">
      <c r="A19" s="10" t="s">
        <v>454</v>
      </c>
      <c r="B19" s="27"/>
      <c r="C19" s="8"/>
      <c r="D19" s="8"/>
      <c r="E19" s="161">
        <f>IF(E17="Ensilaje Maiz",T44,IF(E17="Ensilaje de Alfalfa/Pasto 1",Q44, IF(E17="Ensilaje de Alfalfa/Pasto 2",R44,IF(E17="Ensilaje de Alfalfa/Pasto 3", S44,IF(E17="Mi Ensilaje",F21)))))</f>
        <v>2721</v>
      </c>
      <c r="F19" s="54" t="str">
        <f>IF(E17="Mi Ensilaje", " ", "Viene del Calculador de la Nec de Ton de MS de Ensilaje, Celda I6")</f>
        <v xml:space="preserve"> </v>
      </c>
      <c r="G19" s="55"/>
      <c r="H19" s="55"/>
      <c r="I19" s="37" t="s">
        <v>296</v>
      </c>
      <c r="J19" s="11">
        <v>5</v>
      </c>
      <c r="K19" s="202">
        <f>J19</f>
        <v>5</v>
      </c>
      <c r="L19" s="11">
        <v>4</v>
      </c>
      <c r="M19" s="11">
        <v>4</v>
      </c>
      <c r="N19" s="11">
        <v>0</v>
      </c>
      <c r="O19" s="11">
        <v>2</v>
      </c>
      <c r="P19" s="37"/>
      <c r="Q19" s="163">
        <f>L19*$J$19</f>
        <v>20</v>
      </c>
      <c r="R19" s="163">
        <f>M19*$J$19</f>
        <v>20</v>
      </c>
      <c r="S19" s="163">
        <f>N19*$J$19</f>
        <v>0</v>
      </c>
      <c r="T19" s="163">
        <f>O19*$J$19</f>
        <v>10</v>
      </c>
    </row>
    <row r="20" spans="1:20">
      <c r="A20" s="10"/>
      <c r="B20" s="27"/>
      <c r="C20" s="8"/>
      <c r="D20" s="8"/>
      <c r="E20" s="32"/>
      <c r="F20" s="54" t="str">
        <f>IF(E17="Mi Ensilaje", " ", "Cuadro, Fila 44")</f>
        <v xml:space="preserve"> </v>
      </c>
      <c r="G20" s="55"/>
      <c r="H20" s="55"/>
      <c r="I20" s="37" t="s">
        <v>455</v>
      </c>
      <c r="J20" s="43"/>
      <c r="K20" s="202"/>
      <c r="L20" s="43"/>
      <c r="M20" s="43"/>
      <c r="N20" s="43"/>
      <c r="O20" s="43"/>
      <c r="P20" s="37"/>
      <c r="Q20" s="163"/>
      <c r="R20" s="163"/>
      <c r="S20" s="163"/>
      <c r="T20" s="163"/>
    </row>
    <row r="21" spans="1:20">
      <c r="A21" s="90" t="str">
        <f>IF(E17="Mi Ensilaje", "Mi Ensilaje, si es que no utiliza el cuadro para calcular la MS del ensilaje (fila 44) y se utiliza el valor total propio (Consumo MS Kg/Rebaño-Día)   =", "  ")</f>
        <v>Mi Ensilaje, si es que no utiliza el cuadro para calcular la MS del ensilaje (fila 44) y se utiliza el valor total propio (Consumo MS Kg/Rebaño-Día)   =</v>
      </c>
      <c r="B21" s="56"/>
      <c r="C21" s="56"/>
      <c r="D21" s="8"/>
      <c r="E21" s="32"/>
      <c r="F21" s="63">
        <v>2721</v>
      </c>
      <c r="G21" s="58" t="str">
        <f>IF(E17="Mi Ensilaje","Mi Ensilaje","   ")</f>
        <v>Mi Ensilaje</v>
      </c>
      <c r="I21" s="37" t="s">
        <v>456</v>
      </c>
      <c r="J21" s="11">
        <v>6</v>
      </c>
      <c r="K21" s="202">
        <f>J21</f>
        <v>6</v>
      </c>
      <c r="L21" s="11">
        <v>3</v>
      </c>
      <c r="M21" s="11">
        <v>3</v>
      </c>
      <c r="N21" s="11">
        <v>0</v>
      </c>
      <c r="O21" s="11">
        <v>5</v>
      </c>
      <c r="P21" s="37"/>
      <c r="Q21" s="163">
        <f>L21*$J21</f>
        <v>18</v>
      </c>
      <c r="R21" s="163">
        <f>M21*$J21</f>
        <v>18</v>
      </c>
      <c r="S21" s="163">
        <f>N21*$J21</f>
        <v>0</v>
      </c>
      <c r="T21" s="163">
        <f>O21*$J21</f>
        <v>30</v>
      </c>
    </row>
    <row r="22" spans="1:20">
      <c r="A22" s="10" t="s">
        <v>457</v>
      </c>
      <c r="B22" s="27"/>
      <c r="C22" s="8"/>
      <c r="D22" s="8"/>
      <c r="E22" s="12">
        <v>10</v>
      </c>
      <c r="F22" s="9"/>
      <c r="G22" s="35"/>
      <c r="H22" s="35"/>
      <c r="I22" s="37"/>
      <c r="J22" s="43"/>
      <c r="K22" s="202"/>
      <c r="L22" s="43"/>
      <c r="M22" s="43"/>
      <c r="N22" s="43"/>
      <c r="O22" s="43"/>
      <c r="P22" s="37"/>
      <c r="Q22" s="163"/>
      <c r="R22" s="163"/>
      <c r="S22" s="163"/>
      <c r="T22" s="163"/>
    </row>
    <row r="23" spans="1:20">
      <c r="A23" s="10" t="s">
        <v>458</v>
      </c>
      <c r="B23" s="27"/>
      <c r="C23" s="8"/>
      <c r="D23" s="8"/>
      <c r="E23" s="32"/>
      <c r="F23" s="9"/>
      <c r="G23" s="35"/>
      <c r="H23" s="78"/>
      <c r="I23" s="37" t="s">
        <v>298</v>
      </c>
      <c r="J23" s="11">
        <v>110</v>
      </c>
      <c r="K23" s="202">
        <f>J23</f>
        <v>110</v>
      </c>
      <c r="L23" s="11">
        <v>5</v>
      </c>
      <c r="M23" s="11">
        <v>5</v>
      </c>
      <c r="N23" s="11">
        <v>0</v>
      </c>
      <c r="O23" s="11">
        <v>5</v>
      </c>
      <c r="P23" s="37"/>
      <c r="Q23" s="163">
        <f>L23*$J$23</f>
        <v>550</v>
      </c>
      <c r="R23" s="163">
        <f>M23*$J$23</f>
        <v>550</v>
      </c>
      <c r="S23" s="163">
        <f>N23*$J$23</f>
        <v>0</v>
      </c>
      <c r="T23" s="163">
        <f>O23*$J$23</f>
        <v>550</v>
      </c>
    </row>
    <row r="24" spans="1:20">
      <c r="A24" s="10"/>
      <c r="B24" s="27"/>
      <c r="C24" s="8"/>
      <c r="D24" s="8"/>
      <c r="E24" s="32"/>
      <c r="F24" s="9"/>
      <c r="G24" s="185" t="s">
        <v>334</v>
      </c>
      <c r="H24" s="191">
        <f>E32*39.37</f>
        <v>11.810999999999998</v>
      </c>
      <c r="I24" s="37"/>
      <c r="J24" s="200"/>
      <c r="K24" s="202"/>
      <c r="L24" s="200"/>
      <c r="M24" s="200"/>
      <c r="N24" s="200"/>
      <c r="O24" s="200"/>
      <c r="P24" s="37"/>
      <c r="Q24" s="163"/>
      <c r="R24" s="163"/>
      <c r="S24" s="163"/>
      <c r="T24" s="163"/>
    </row>
    <row r="25" spans="1:20">
      <c r="A25" s="56" t="s">
        <v>459</v>
      </c>
      <c r="B25" s="27"/>
      <c r="C25" s="8"/>
      <c r="D25" s="8"/>
      <c r="E25" s="12">
        <v>5</v>
      </c>
      <c r="F25" s="9"/>
      <c r="G25" s="185" t="s">
        <v>335</v>
      </c>
      <c r="H25" s="191">
        <f>E28*0.062</f>
        <v>43.71</v>
      </c>
      <c r="I25" s="37" t="s">
        <v>299</v>
      </c>
      <c r="J25" s="200"/>
      <c r="K25" s="202">
        <f>SUM(J26:J28)</f>
        <v>226</v>
      </c>
      <c r="L25" s="200"/>
      <c r="M25" s="200"/>
      <c r="N25" s="200"/>
      <c r="O25" s="200"/>
      <c r="P25" s="37"/>
      <c r="Q25" s="163"/>
      <c r="R25" s="163"/>
      <c r="S25" s="163"/>
      <c r="T25" s="163"/>
    </row>
    <row r="26" spans="1:20">
      <c r="A26" s="56" t="s">
        <v>460</v>
      </c>
      <c r="B26" s="27"/>
      <c r="C26" s="8"/>
      <c r="D26" s="8"/>
      <c r="E26" s="32"/>
      <c r="F26" s="9"/>
      <c r="G26" s="185" t="s">
        <v>336</v>
      </c>
      <c r="H26" s="191">
        <f>100-E30</f>
        <v>33</v>
      </c>
      <c r="I26" s="40" t="s">
        <v>300</v>
      </c>
      <c r="J26" s="11">
        <v>90</v>
      </c>
      <c r="K26" s="42"/>
      <c r="L26" s="11">
        <v>3</v>
      </c>
      <c r="M26" s="11">
        <v>3</v>
      </c>
      <c r="N26" s="11">
        <v>0</v>
      </c>
      <c r="O26" s="11">
        <v>7</v>
      </c>
      <c r="P26" s="37"/>
      <c r="Q26" s="163">
        <f>L26*$J$26</f>
        <v>270</v>
      </c>
      <c r="R26" s="163">
        <f>M26*$J$26</f>
        <v>270</v>
      </c>
      <c r="S26" s="163">
        <f>N26*$J$26</f>
        <v>0</v>
      </c>
      <c r="T26" s="163">
        <f>O26*$J$26</f>
        <v>630</v>
      </c>
    </row>
    <row r="27" spans="1:20">
      <c r="A27" s="10"/>
      <c r="B27" s="27"/>
      <c r="C27" s="8"/>
      <c r="D27" s="8"/>
      <c r="E27" s="32"/>
      <c r="F27" s="9"/>
      <c r="G27" s="185" t="s">
        <v>337</v>
      </c>
      <c r="H27" s="191">
        <f>H25*H26/100</f>
        <v>14.424300000000001</v>
      </c>
      <c r="I27" s="40" t="s">
        <v>302</v>
      </c>
      <c r="J27" s="11">
        <v>68</v>
      </c>
      <c r="K27" s="42"/>
      <c r="L27" s="11">
        <v>4</v>
      </c>
      <c r="M27" s="11">
        <v>4</v>
      </c>
      <c r="N27" s="11">
        <v>0</v>
      </c>
      <c r="O27" s="11">
        <v>6</v>
      </c>
      <c r="P27" s="37"/>
      <c r="Q27" s="163">
        <f>L27*$J$27</f>
        <v>272</v>
      </c>
      <c r="R27" s="163">
        <f>M27*$J$27</f>
        <v>272</v>
      </c>
      <c r="S27" s="163">
        <f>N27*$J$27</f>
        <v>0</v>
      </c>
      <c r="T27" s="163">
        <f>O27*$J$27</f>
        <v>408</v>
      </c>
    </row>
    <row r="28" spans="1:20" ht="15.75">
      <c r="A28" s="10" t="s">
        <v>461</v>
      </c>
      <c r="B28" s="27"/>
      <c r="C28" s="8"/>
      <c r="D28" s="8"/>
      <c r="E28" s="12">
        <v>705</v>
      </c>
      <c r="F28" s="9"/>
      <c r="G28" s="185" t="s">
        <v>338</v>
      </c>
      <c r="H28" s="191">
        <f>100*(1-(H27/(62.4*1.5)+(H25-H27)/62.4))</f>
        <v>37.657211538461532</v>
      </c>
      <c r="I28" s="40" t="s">
        <v>301</v>
      </c>
      <c r="J28" s="11">
        <v>68</v>
      </c>
      <c r="K28" s="42"/>
      <c r="L28" s="11">
        <v>5</v>
      </c>
      <c r="M28" s="11">
        <v>5</v>
      </c>
      <c r="N28" s="11">
        <v>0</v>
      </c>
      <c r="O28" s="11">
        <v>7</v>
      </c>
      <c r="P28" s="37"/>
      <c r="Q28" s="163">
        <f>L28*$J$28</f>
        <v>340</v>
      </c>
      <c r="R28" s="163">
        <f>M28*$J$28</f>
        <v>340</v>
      </c>
      <c r="S28" s="163">
        <f>N28*$J$28</f>
        <v>0</v>
      </c>
      <c r="T28" s="163">
        <f>O28*$J$28</f>
        <v>476</v>
      </c>
    </row>
    <row r="29" spans="1:20">
      <c r="A29" s="10"/>
      <c r="B29" s="27"/>
      <c r="C29" s="8"/>
      <c r="D29" s="8"/>
      <c r="E29" s="32"/>
      <c r="F29" s="9"/>
      <c r="G29" s="185" t="s">
        <v>340</v>
      </c>
      <c r="H29" s="191">
        <f>40*H26/100</f>
        <v>13.2</v>
      </c>
      <c r="I29" s="37"/>
      <c r="J29" s="200"/>
      <c r="K29" s="202"/>
      <c r="L29" s="200"/>
      <c r="M29" s="200"/>
      <c r="N29" s="200"/>
      <c r="O29" s="200"/>
      <c r="P29" s="37"/>
      <c r="Q29" s="163"/>
      <c r="R29" s="163"/>
      <c r="S29" s="163"/>
      <c r="T29" s="163"/>
    </row>
    <row r="30" spans="1:20">
      <c r="A30" s="10" t="s">
        <v>273</v>
      </c>
      <c r="B30" s="27"/>
      <c r="C30" s="8"/>
      <c r="D30" s="8"/>
      <c r="E30" s="12">
        <v>67</v>
      </c>
      <c r="F30" s="9"/>
      <c r="G30" s="185" t="s">
        <v>339</v>
      </c>
      <c r="H30" s="191">
        <f>100*(1-(H29/(62.4*1.5)+(40-H29)/62.4))</f>
        <v>42.948717948717949</v>
      </c>
      <c r="I30" s="37" t="s">
        <v>303</v>
      </c>
      <c r="J30" s="11">
        <v>10</v>
      </c>
      <c r="K30" s="203">
        <f>J30</f>
        <v>10</v>
      </c>
      <c r="L30" s="11">
        <v>3</v>
      </c>
      <c r="M30" s="11">
        <v>3</v>
      </c>
      <c r="N30" s="11">
        <v>0</v>
      </c>
      <c r="O30" s="11">
        <v>3</v>
      </c>
      <c r="P30" s="37"/>
      <c r="Q30" s="163">
        <f>L30*$J$30</f>
        <v>30</v>
      </c>
      <c r="R30" s="163">
        <f>M30*$J$30</f>
        <v>30</v>
      </c>
      <c r="S30" s="163">
        <f>N30*$J$30</f>
        <v>0</v>
      </c>
      <c r="T30" s="163">
        <f>O30*$J$30</f>
        <v>30</v>
      </c>
    </row>
    <row r="31" spans="1:20">
      <c r="A31" s="10" t="s">
        <v>462</v>
      </c>
      <c r="B31" s="27"/>
      <c r="C31" s="8"/>
      <c r="D31" s="8"/>
      <c r="E31" s="32"/>
      <c r="F31" s="9"/>
      <c r="G31" s="188"/>
      <c r="H31" s="194"/>
      <c r="I31" s="38" t="s">
        <v>39</v>
      </c>
      <c r="J31" s="201" t="s">
        <v>39</v>
      </c>
      <c r="K31" s="206" t="s">
        <v>39</v>
      </c>
      <c r="L31" s="201" t="s">
        <v>39</v>
      </c>
      <c r="M31" s="201" t="s">
        <v>39</v>
      </c>
      <c r="N31" s="201" t="s">
        <v>39</v>
      </c>
      <c r="O31" s="201" t="s">
        <v>39</v>
      </c>
      <c r="P31" s="38" t="s">
        <v>39</v>
      </c>
      <c r="Q31" s="38" t="s">
        <v>39</v>
      </c>
      <c r="R31" s="38" t="s">
        <v>39</v>
      </c>
      <c r="S31" s="38" t="s">
        <v>39</v>
      </c>
      <c r="T31" s="38" t="s">
        <v>39</v>
      </c>
    </row>
    <row r="32" spans="1:20">
      <c r="A32" s="10" t="s">
        <v>463</v>
      </c>
      <c r="B32" s="27"/>
      <c r="C32" s="8"/>
      <c r="D32" s="8"/>
      <c r="E32" s="12">
        <v>0.3</v>
      </c>
      <c r="F32" s="9"/>
      <c r="G32" s="189">
        <f>(3+((H26-35)/100))*(H28/H30)*(6/H24)</f>
        <v>1.3273296585399141</v>
      </c>
      <c r="H32" s="188"/>
      <c r="I32" s="37" t="s">
        <v>121</v>
      </c>
      <c r="J32" s="200" t="s">
        <v>16</v>
      </c>
      <c r="K32" s="202">
        <f>SUM(K12:K30)</f>
        <v>425</v>
      </c>
      <c r="L32" s="200"/>
      <c r="M32" s="200"/>
      <c r="N32" s="200"/>
      <c r="O32" s="200"/>
      <c r="P32" s="37"/>
      <c r="Q32" s="37"/>
      <c r="R32" s="37"/>
      <c r="S32" s="37"/>
      <c r="T32" s="37"/>
    </row>
    <row r="33" spans="1:20">
      <c r="A33" s="10"/>
      <c r="B33" s="27"/>
      <c r="C33" s="8"/>
      <c r="D33" s="8"/>
      <c r="E33" s="32"/>
      <c r="F33" s="9"/>
      <c r="G33" s="78"/>
      <c r="H33" s="78"/>
      <c r="I33" s="41"/>
      <c r="J33" s="200"/>
      <c r="K33" s="202"/>
      <c r="L33" s="200"/>
      <c r="M33" s="200"/>
      <c r="N33" s="200"/>
      <c r="O33" s="200"/>
      <c r="P33" s="37"/>
      <c r="Q33" s="37"/>
      <c r="R33" s="37"/>
      <c r="S33" s="37"/>
      <c r="T33" s="37"/>
    </row>
    <row r="34" spans="1:20">
      <c r="A34" s="10" t="s">
        <v>274</v>
      </c>
      <c r="B34" s="27"/>
      <c r="C34" s="8"/>
      <c r="D34" s="8"/>
      <c r="E34" s="12">
        <v>360</v>
      </c>
      <c r="F34" s="9"/>
      <c r="G34" s="35"/>
      <c r="H34" s="35"/>
      <c r="I34" s="37" t="s">
        <v>305</v>
      </c>
      <c r="J34" s="200"/>
      <c r="K34" s="202"/>
      <c r="L34" s="200"/>
      <c r="M34" s="200"/>
      <c r="N34" s="200"/>
      <c r="O34" s="200"/>
      <c r="P34" s="37"/>
      <c r="Q34" s="37"/>
      <c r="R34" s="37"/>
      <c r="S34" s="37"/>
      <c r="T34" s="37"/>
    </row>
    <row r="35" spans="1:20">
      <c r="A35" s="10"/>
      <c r="B35" s="27"/>
      <c r="C35" s="8"/>
      <c r="D35" s="8"/>
      <c r="E35" s="32"/>
      <c r="F35" s="9"/>
      <c r="G35" s="35"/>
      <c r="H35" s="35"/>
      <c r="I35" s="40" t="s">
        <v>123</v>
      </c>
      <c r="J35" s="11">
        <v>48</v>
      </c>
      <c r="K35" s="42"/>
      <c r="L35" s="11">
        <v>1.4</v>
      </c>
      <c r="M35" s="11">
        <v>0</v>
      </c>
      <c r="N35" s="11">
        <v>0</v>
      </c>
      <c r="O35" s="11">
        <v>0.9</v>
      </c>
      <c r="P35" s="37"/>
      <c r="Q35" s="163">
        <f>L35*$J$35</f>
        <v>67.199999999999989</v>
      </c>
      <c r="R35" s="163">
        <f>M35*$J$35</f>
        <v>0</v>
      </c>
      <c r="S35" s="163">
        <f>N35*$J$35</f>
        <v>0</v>
      </c>
      <c r="T35" s="163">
        <f>O35*$J$35</f>
        <v>43.2</v>
      </c>
    </row>
    <row r="36" spans="1:20">
      <c r="A36" s="10" t="s">
        <v>275</v>
      </c>
      <c r="B36" s="27"/>
      <c r="C36" s="8"/>
      <c r="D36" s="8"/>
      <c r="E36" s="12">
        <v>46</v>
      </c>
      <c r="F36" s="9"/>
      <c r="G36" s="35"/>
      <c r="H36" s="35"/>
      <c r="I36" s="40" t="s">
        <v>124</v>
      </c>
      <c r="J36" s="11">
        <v>48</v>
      </c>
      <c r="K36" s="42"/>
      <c r="L36" s="11">
        <v>2.2999999999999998</v>
      </c>
      <c r="M36" s="11">
        <v>0</v>
      </c>
      <c r="N36" s="11">
        <v>0</v>
      </c>
      <c r="O36" s="11">
        <v>1.4</v>
      </c>
      <c r="P36" s="37"/>
      <c r="Q36" s="163">
        <f>L36*$J$36</f>
        <v>110.39999999999999</v>
      </c>
      <c r="R36" s="163">
        <f>M36*$J$36</f>
        <v>0</v>
      </c>
      <c r="S36" s="163">
        <f>N36*$J$36</f>
        <v>0</v>
      </c>
      <c r="T36" s="163">
        <f>O36*$J$36</f>
        <v>67.199999999999989</v>
      </c>
    </row>
    <row r="37" spans="1:20">
      <c r="A37" s="10" t="s">
        <v>317</v>
      </c>
      <c r="B37" s="27"/>
      <c r="C37" s="8"/>
      <c r="D37" s="8"/>
      <c r="E37" s="9"/>
      <c r="F37" s="9"/>
      <c r="G37" s="35"/>
      <c r="H37" s="35"/>
      <c r="I37" s="40" t="s">
        <v>125</v>
      </c>
      <c r="J37" s="11">
        <v>72</v>
      </c>
      <c r="K37" s="42"/>
      <c r="L37" s="11">
        <v>1.8</v>
      </c>
      <c r="M37" s="11">
        <v>0.9</v>
      </c>
      <c r="N37" s="11">
        <v>0</v>
      </c>
      <c r="O37" s="11">
        <v>2.2999999999999998</v>
      </c>
      <c r="P37" s="37"/>
      <c r="Q37" s="163">
        <f>L37*$J$37</f>
        <v>129.6</v>
      </c>
      <c r="R37" s="163">
        <f>M37*$J$37</f>
        <v>64.8</v>
      </c>
      <c r="S37" s="163">
        <f>N37*$J$37</f>
        <v>0</v>
      </c>
      <c r="T37" s="163">
        <f>O37*$J$37</f>
        <v>165.6</v>
      </c>
    </row>
    <row r="38" spans="1:20">
      <c r="A38" s="33" t="s">
        <v>474</v>
      </c>
      <c r="B38" s="28"/>
      <c r="C38" s="28"/>
      <c r="D38" s="28"/>
      <c r="E38" s="28"/>
      <c r="F38" s="28"/>
      <c r="G38" s="34"/>
      <c r="H38" s="35"/>
      <c r="I38" s="40" t="s">
        <v>126</v>
      </c>
      <c r="J38" s="11">
        <v>48</v>
      </c>
      <c r="K38" s="42"/>
      <c r="L38" s="11">
        <v>1.8</v>
      </c>
      <c r="M38" s="11">
        <v>1.8</v>
      </c>
      <c r="N38" s="11">
        <v>0</v>
      </c>
      <c r="O38" s="11">
        <v>2.7</v>
      </c>
      <c r="P38" s="37"/>
      <c r="Q38" s="163">
        <f>L38*$J$38</f>
        <v>86.4</v>
      </c>
      <c r="R38" s="163">
        <f>M38*$J$38</f>
        <v>86.4</v>
      </c>
      <c r="S38" s="163">
        <f>N38*$J$38</f>
        <v>0</v>
      </c>
      <c r="T38" s="163">
        <f>O38*$J$38</f>
        <v>129.60000000000002</v>
      </c>
    </row>
    <row r="39" spans="1:20">
      <c r="H39" s="35"/>
      <c r="I39" s="40" t="s">
        <v>464</v>
      </c>
      <c r="J39" s="11">
        <v>156</v>
      </c>
      <c r="K39" s="42"/>
      <c r="L39" s="11">
        <v>3.2</v>
      </c>
      <c r="M39" s="11">
        <v>1.8</v>
      </c>
      <c r="N39" s="11">
        <v>0</v>
      </c>
      <c r="O39" s="11">
        <v>4.0999999999999996</v>
      </c>
      <c r="P39" s="37"/>
      <c r="Q39" s="163">
        <f>L39*$J$39</f>
        <v>499.20000000000005</v>
      </c>
      <c r="R39" s="163">
        <f>M39*$J$39</f>
        <v>280.8</v>
      </c>
      <c r="S39" s="163">
        <f>N39*$J$39</f>
        <v>0</v>
      </c>
      <c r="T39" s="163">
        <f>O39*$J$39</f>
        <v>639.59999999999991</v>
      </c>
    </row>
    <row r="40" spans="1:20">
      <c r="A40" s="13" t="s">
        <v>101</v>
      </c>
      <c r="B40" s="14"/>
      <c r="C40" s="15"/>
      <c r="D40" s="15"/>
      <c r="E40" s="16"/>
      <c r="F40" s="16"/>
      <c r="G40" s="17"/>
      <c r="H40" s="35"/>
      <c r="I40" s="38" t="s">
        <v>5</v>
      </c>
      <c r="J40" s="38" t="s">
        <v>5</v>
      </c>
      <c r="K40" s="206" t="s">
        <v>5</v>
      </c>
      <c r="L40" s="38" t="s">
        <v>5</v>
      </c>
      <c r="M40" s="38" t="s">
        <v>5</v>
      </c>
      <c r="N40" s="38" t="s">
        <v>5</v>
      </c>
      <c r="O40" s="38" t="s">
        <v>5</v>
      </c>
      <c r="P40" s="38" t="s">
        <v>5</v>
      </c>
      <c r="Q40" s="38" t="s">
        <v>5</v>
      </c>
      <c r="R40" s="38" t="s">
        <v>5</v>
      </c>
      <c r="S40" s="38" t="s">
        <v>5</v>
      </c>
      <c r="T40" s="38" t="s">
        <v>5</v>
      </c>
    </row>
    <row r="41" spans="1:20">
      <c r="A41" s="18" t="s">
        <v>5</v>
      </c>
      <c r="B41" s="19" t="s">
        <v>5</v>
      </c>
      <c r="C41" s="20" t="s">
        <v>5</v>
      </c>
      <c r="D41" s="20" t="s">
        <v>5</v>
      </c>
      <c r="E41" s="21" t="s">
        <v>5</v>
      </c>
      <c r="F41" s="21" t="s">
        <v>5</v>
      </c>
      <c r="G41" s="18" t="s">
        <v>5</v>
      </c>
      <c r="H41" s="35"/>
      <c r="I41" s="37" t="s">
        <v>305</v>
      </c>
      <c r="J41" s="37" t="s">
        <v>16</v>
      </c>
      <c r="K41" s="202">
        <f>SUM(J35:J39)</f>
        <v>372</v>
      </c>
      <c r="L41" s="37"/>
      <c r="M41" s="37"/>
      <c r="N41" s="37"/>
      <c r="O41" s="37"/>
      <c r="P41" s="37"/>
      <c r="Q41" s="37"/>
      <c r="R41" s="37"/>
      <c r="S41" s="37"/>
      <c r="T41" s="37"/>
    </row>
    <row r="42" spans="1:20">
      <c r="A42" s="67"/>
      <c r="B42" s="67" t="s">
        <v>277</v>
      </c>
      <c r="C42" s="68" t="s">
        <v>280</v>
      </c>
      <c r="D42" s="68" t="s">
        <v>282</v>
      </c>
      <c r="E42" s="69" t="s">
        <v>286</v>
      </c>
      <c r="F42" s="69" t="s">
        <v>286</v>
      </c>
      <c r="G42" s="67" t="s">
        <v>291</v>
      </c>
      <c r="H42" s="35"/>
      <c r="I42" s="37"/>
      <c r="J42" s="37"/>
      <c r="K42" s="202"/>
      <c r="L42" s="37"/>
      <c r="M42" s="37"/>
      <c r="N42" s="37"/>
      <c r="O42" s="37"/>
      <c r="P42" s="37"/>
      <c r="Q42" s="37"/>
      <c r="R42" s="37"/>
      <c r="S42" s="37"/>
      <c r="T42" s="37"/>
    </row>
    <row r="43" spans="1:20">
      <c r="A43" s="67" t="s">
        <v>103</v>
      </c>
      <c r="B43" s="70" t="s">
        <v>278</v>
      </c>
      <c r="C43" s="71" t="s">
        <v>105</v>
      </c>
      <c r="D43" s="68" t="s">
        <v>283</v>
      </c>
      <c r="E43" s="69" t="s">
        <v>287</v>
      </c>
      <c r="F43" s="69" t="s">
        <v>288</v>
      </c>
      <c r="G43" s="67" t="s">
        <v>465</v>
      </c>
      <c r="H43" s="35"/>
      <c r="I43" s="37"/>
      <c r="J43" s="37"/>
      <c r="K43" s="202"/>
      <c r="L43" s="37"/>
      <c r="M43" s="37"/>
      <c r="N43" s="37"/>
      <c r="O43" s="37"/>
      <c r="P43" s="37"/>
      <c r="Q43" s="37"/>
      <c r="R43" s="37"/>
      <c r="S43" s="37"/>
      <c r="T43" s="37"/>
    </row>
    <row r="44" spans="1:20">
      <c r="A44" s="67" t="s">
        <v>276</v>
      </c>
      <c r="B44" s="70" t="s">
        <v>279</v>
      </c>
      <c r="C44" s="68" t="s">
        <v>66</v>
      </c>
      <c r="D44" s="68"/>
      <c r="E44" s="69" t="s">
        <v>326</v>
      </c>
      <c r="F44" s="69" t="s">
        <v>318</v>
      </c>
      <c r="G44" s="67" t="s">
        <v>466</v>
      </c>
      <c r="H44" s="35"/>
      <c r="I44" s="37"/>
      <c r="J44" s="37"/>
      <c r="K44" s="37"/>
      <c r="L44" s="37"/>
      <c r="M44" s="37"/>
      <c r="N44" s="37" t="s">
        <v>467</v>
      </c>
      <c r="O44" s="51"/>
      <c r="P44" s="37"/>
      <c r="Q44" s="36">
        <f>SUM(Q14:Q39)</f>
        <v>2724.6000000000004</v>
      </c>
      <c r="R44" s="36">
        <f>SUM(R14:R39)</f>
        <v>2263.8000000000002</v>
      </c>
      <c r="S44" s="36">
        <f>SUM(S14:S39)</f>
        <v>0</v>
      </c>
      <c r="T44" s="36">
        <f>SUM(T14:T39)</f>
        <v>3211.1999999999994</v>
      </c>
    </row>
    <row r="45" spans="1:20">
      <c r="A45" s="67"/>
      <c r="B45" s="70"/>
      <c r="C45" s="67" t="s">
        <v>468</v>
      </c>
      <c r="D45" s="67" t="s">
        <v>110</v>
      </c>
      <c r="E45" s="69" t="s">
        <v>325</v>
      </c>
      <c r="F45" s="69" t="s">
        <v>469</v>
      </c>
      <c r="G45" s="67"/>
      <c r="H45" s="35"/>
      <c r="P45" s="45"/>
    </row>
    <row r="46" spans="1:20">
      <c r="A46" s="67" t="s">
        <v>110</v>
      </c>
      <c r="B46" s="67" t="s">
        <v>110</v>
      </c>
      <c r="C46" s="68"/>
      <c r="D46" s="68" t="s">
        <v>284</v>
      </c>
      <c r="E46" s="69" t="s">
        <v>470</v>
      </c>
      <c r="F46" s="69" t="s">
        <v>470</v>
      </c>
      <c r="G46" s="67" t="s">
        <v>72</v>
      </c>
      <c r="H46" s="35"/>
    </row>
    <row r="47" spans="1:20">
      <c r="A47" s="18" t="s">
        <v>5</v>
      </c>
      <c r="B47" s="19" t="s">
        <v>5</v>
      </c>
      <c r="C47" s="20" t="s">
        <v>5</v>
      </c>
      <c r="D47" s="20" t="s">
        <v>5</v>
      </c>
      <c r="E47" s="21" t="s">
        <v>5</v>
      </c>
      <c r="F47" s="21" t="s">
        <v>5</v>
      </c>
      <c r="G47" s="18" t="s">
        <v>5</v>
      </c>
      <c r="H47" s="35"/>
    </row>
    <row r="48" spans="1:20">
      <c r="A48" s="17">
        <v>1.5</v>
      </c>
      <c r="B48" s="103">
        <f>IF(($E$19)/($E$32*$A48*$E$28*(1-($E$30/100)))&lt;2*$E$15,"No Usar",($E$19)/($E$32*$A48*$E$28*(1-($E$30/100))))</f>
        <v>25.990400458485574</v>
      </c>
      <c r="C48" s="93">
        <f>IF(B48="No Usar","No Usar",ROUND(((+$E$32)*($E$34/($E$36-$A48*3))+0.4),0))</f>
        <v>3</v>
      </c>
      <c r="D48" s="105">
        <f>IF(B48="No Usar","No Usar",((($E$19*$E$34/(1-($E$22+$E$25+$G$32)/100))/($E$28*(1-($E$30/100)))/($C48*($B48*$A48))+3*$A48)))</f>
        <v>47.52480111258248</v>
      </c>
      <c r="E48" s="22">
        <f>IF(B48="No Usar","No Usar",($E$19/(1-($E$22+$E$25+$G$32)/100)*($E$34/1000)*(1+0.0225*($B48/$I$53-1))))</f>
        <v>1208.6356750334269</v>
      </c>
      <c r="F48" s="22">
        <f>IF(B48="No Usar","No Usar",+$E48*($E$22+$E$25+$G$32+2.25*($B48/$I$53-1))/100)</f>
        <v>236.49772690450985</v>
      </c>
      <c r="G48" s="22">
        <f>IF(B48="No Usar","No Usar",($F48/$E48)*100)</f>
        <v>19.567329658539915</v>
      </c>
      <c r="H48" s="35"/>
    </row>
    <row r="49" spans="1:9">
      <c r="A49" s="17">
        <v>2</v>
      </c>
      <c r="B49" s="103">
        <f t="shared" ref="B49:B61" si="0">IF(($E$19)/($E$32*$A49*$E$28*(1-($E$30/100)))&lt;2*$E$15,"No Usar",($E$19)/($E$32*$A49*$E$28*(1-($E$30/100))))</f>
        <v>19.492800343864179</v>
      </c>
      <c r="C49" s="93">
        <f t="shared" ref="C49:C61" si="1">IF(B49="No Usar","No Usar",ROUND(((+$E$32)*($E$34/($E$36-$A49*3))+0.4),0))</f>
        <v>3</v>
      </c>
      <c r="D49" s="105">
        <f t="shared" ref="D49:D61" si="2">IF(B49="No Usar","No Usar",((($E$19*$E$34/(1-($E$22+$E$25+$G$32)/100))/($E$28*(1-($E$30/100)))/($C49*($B49*$A49))+3*$A49)))</f>
        <v>49.024801112582487</v>
      </c>
      <c r="E49" s="22">
        <f t="shared" ref="E49:E61" si="3">IF(B49="No Usar","No Usar",($E$19/(1-($E$22+$E$25+$G$32)/100)*($E$34/1000)*(1+0.0225*($B49/$I$53-1))))</f>
        <v>1192.5677511281249</v>
      </c>
      <c r="F49" s="22">
        <f t="shared" ref="F49:F61" si="4">IF(B49="No Usar","No Usar",+$E49*($E$22+$E$25+$G$32+2.25*($B49/$I$53-1))/100)</f>
        <v>216.98567088044251</v>
      </c>
      <c r="G49" s="22">
        <f t="shared" ref="G49:G61" si="5">IF(B49="No Usar","No Usar",($F49/$E49)*100)</f>
        <v>18.194829658539913</v>
      </c>
      <c r="H49" s="35"/>
    </row>
    <row r="50" spans="1:9">
      <c r="A50" s="17">
        <v>2.5</v>
      </c>
      <c r="B50" s="103">
        <f t="shared" si="0"/>
        <v>15.594240275091341</v>
      </c>
      <c r="C50" s="93">
        <f t="shared" si="1"/>
        <v>3</v>
      </c>
      <c r="D50" s="105">
        <f t="shared" si="2"/>
        <v>50.524801112582495</v>
      </c>
      <c r="E50" s="22">
        <f t="shared" si="3"/>
        <v>1182.9269967849436</v>
      </c>
      <c r="F50" s="22">
        <f t="shared" si="4"/>
        <v>205.49014823137841</v>
      </c>
      <c r="G50" s="22">
        <f t="shared" si="5"/>
        <v>17.371329658539914</v>
      </c>
      <c r="H50" s="35"/>
    </row>
    <row r="51" spans="1:9">
      <c r="A51" s="24">
        <v>3</v>
      </c>
      <c r="B51" s="103">
        <f t="shared" si="0"/>
        <v>12.995200229242787</v>
      </c>
      <c r="C51" s="93">
        <f t="shared" si="1"/>
        <v>3</v>
      </c>
      <c r="D51" s="105">
        <f t="shared" si="2"/>
        <v>52.02480111258248</v>
      </c>
      <c r="E51" s="22">
        <f t="shared" si="3"/>
        <v>1176.4998272228229</v>
      </c>
      <c r="F51" s="22">
        <f t="shared" si="4"/>
        <v>197.91467936757579</v>
      </c>
      <c r="G51" s="22">
        <f t="shared" si="5"/>
        <v>16.822329658539914</v>
      </c>
      <c r="H51" s="99"/>
    </row>
    <row r="52" spans="1:9">
      <c r="A52" s="17">
        <v>3.5</v>
      </c>
      <c r="B52" s="103">
        <f t="shared" si="0"/>
        <v>11.138743053636672</v>
      </c>
      <c r="C52" s="93">
        <f t="shared" si="1"/>
        <v>3</v>
      </c>
      <c r="D52" s="105">
        <f t="shared" si="2"/>
        <v>53.524801112582495</v>
      </c>
      <c r="E52" s="22">
        <f t="shared" si="3"/>
        <v>1171.9089918213078</v>
      </c>
      <c r="F52" s="22">
        <f t="shared" si="4"/>
        <v>192.54683649860982</v>
      </c>
      <c r="G52" s="22">
        <f t="shared" si="5"/>
        <v>16.430186801397056</v>
      </c>
      <c r="H52" s="35"/>
    </row>
    <row r="53" spans="1:9">
      <c r="A53" s="25">
        <v>3.66</v>
      </c>
      <c r="B53" s="104">
        <f t="shared" si="0"/>
        <v>10.651803466592446</v>
      </c>
      <c r="C53" s="101">
        <f t="shared" si="1"/>
        <v>3</v>
      </c>
      <c r="D53" s="104">
        <f t="shared" si="2"/>
        <v>54.004801112582498</v>
      </c>
      <c r="E53" s="102">
        <f t="shared" si="3"/>
        <v>1170.7048382733697</v>
      </c>
      <c r="F53" s="102">
        <f t="shared" si="4"/>
        <v>191.1448382733696</v>
      </c>
      <c r="G53" s="102">
        <f t="shared" si="5"/>
        <v>16.327329658539913</v>
      </c>
      <c r="H53" s="88" t="s">
        <v>73</v>
      </c>
      <c r="I53" s="193">
        <f>($E$19)/($E$32*A53*$E$28*(1-($E$30/100)))</f>
        <v>10.651803466592446</v>
      </c>
    </row>
    <row r="54" spans="1:9">
      <c r="A54" s="17">
        <v>4</v>
      </c>
      <c r="B54" s="103">
        <f t="shared" si="0"/>
        <v>9.7464001719320894</v>
      </c>
      <c r="C54" s="93">
        <f t="shared" si="1"/>
        <v>4</v>
      </c>
      <c r="D54" s="105">
        <f t="shared" si="2"/>
        <v>44.268600834436867</v>
      </c>
      <c r="E54" s="22">
        <f t="shared" si="3"/>
        <v>1168.4658652701719</v>
      </c>
      <c r="F54" s="22">
        <f t="shared" si="4"/>
        <v>188.5445828028426</v>
      </c>
      <c r="G54" s="22">
        <f t="shared" si="5"/>
        <v>16.136079658539913</v>
      </c>
      <c r="H54" s="100"/>
    </row>
    <row r="55" spans="1:9">
      <c r="A55" s="17">
        <v>4.5</v>
      </c>
      <c r="B55" s="103">
        <f t="shared" si="0"/>
        <v>8.6634668194951896</v>
      </c>
      <c r="C55" s="93">
        <f t="shared" si="1"/>
        <v>4</v>
      </c>
      <c r="D55" s="105">
        <f t="shared" si="2"/>
        <v>45.768600834436867</v>
      </c>
      <c r="E55" s="22">
        <f t="shared" si="3"/>
        <v>1165.7878779526216</v>
      </c>
      <c r="F55" s="22">
        <f t="shared" si="4"/>
        <v>185.44572086522047</v>
      </c>
      <c r="G55" s="22">
        <f t="shared" si="5"/>
        <v>15.907329658539915</v>
      </c>
      <c r="H55" s="100"/>
    </row>
    <row r="56" spans="1:9">
      <c r="A56" s="17">
        <v>5</v>
      </c>
      <c r="B56" s="103">
        <f t="shared" si="0"/>
        <v>7.7971201375456705</v>
      </c>
      <c r="C56" s="93">
        <f t="shared" si="1"/>
        <v>4</v>
      </c>
      <c r="D56" s="105">
        <f t="shared" si="2"/>
        <v>47.268600834436867</v>
      </c>
      <c r="E56" s="22">
        <f t="shared" si="3"/>
        <v>1163.6454880985812</v>
      </c>
      <c r="F56" s="22">
        <f t="shared" si="4"/>
        <v>182.97545260534673</v>
      </c>
      <c r="G56" s="22">
        <f t="shared" si="5"/>
        <v>15.724329658539911</v>
      </c>
      <c r="H56" s="100"/>
    </row>
    <row r="57" spans="1:9">
      <c r="A57" s="17">
        <v>5.5</v>
      </c>
      <c r="B57" s="103">
        <f t="shared" si="0"/>
        <v>7.0882910341324274</v>
      </c>
      <c r="C57" s="93">
        <f t="shared" si="1"/>
        <v>4</v>
      </c>
      <c r="D57" s="105">
        <f t="shared" si="2"/>
        <v>48.768600834436867</v>
      </c>
      <c r="E57" s="22">
        <f t="shared" si="3"/>
        <v>1161.8926236725483</v>
      </c>
      <c r="F57" s="22">
        <f t="shared" si="4"/>
        <v>180.96015628708582</v>
      </c>
      <c r="G57" s="22">
        <f t="shared" si="5"/>
        <v>15.574602385812641</v>
      </c>
      <c r="H57" s="100"/>
    </row>
    <row r="58" spans="1:9">
      <c r="A58" s="17">
        <v>6</v>
      </c>
      <c r="B58" s="103">
        <f t="shared" si="0"/>
        <v>6.4976001146213935</v>
      </c>
      <c r="C58" s="93">
        <f t="shared" si="1"/>
        <v>4</v>
      </c>
      <c r="D58" s="105">
        <f t="shared" si="2"/>
        <v>50.26860083443686</v>
      </c>
      <c r="E58" s="22">
        <f t="shared" si="3"/>
        <v>1160.4319033175209</v>
      </c>
      <c r="F58" s="22">
        <f t="shared" si="4"/>
        <v>179.28475236590955</v>
      </c>
      <c r="G58" s="22">
        <f t="shared" si="5"/>
        <v>15.449829658539912</v>
      </c>
      <c r="H58" s="100"/>
    </row>
    <row r="59" spans="1:9">
      <c r="A59" s="17">
        <v>6.5</v>
      </c>
      <c r="B59" s="103">
        <f t="shared" si="0"/>
        <v>5.9977847211889772</v>
      </c>
      <c r="C59" s="93">
        <f t="shared" si="1"/>
        <v>4</v>
      </c>
      <c r="D59" s="105">
        <f t="shared" si="2"/>
        <v>51.768600834436867</v>
      </c>
      <c r="E59" s="22">
        <f t="shared" si="3"/>
        <v>1159.1959091709591</v>
      </c>
      <c r="F59" s="22">
        <f t="shared" si="4"/>
        <v>177.86995000233998</v>
      </c>
      <c r="G59" s="22">
        <f t="shared" si="5"/>
        <v>15.344252735462991</v>
      </c>
      <c r="H59" s="35"/>
    </row>
    <row r="60" spans="1:9">
      <c r="A60" s="17">
        <v>7</v>
      </c>
      <c r="B60" s="103">
        <f t="shared" si="0"/>
        <v>5.5693715268183359</v>
      </c>
      <c r="C60" s="93">
        <f t="shared" si="1"/>
        <v>5</v>
      </c>
      <c r="D60" s="105">
        <f t="shared" si="2"/>
        <v>46.814880667549495</v>
      </c>
      <c r="E60" s="22">
        <f t="shared" si="3"/>
        <v>1158.1364856167634</v>
      </c>
      <c r="F60" s="22">
        <f t="shared" si="4"/>
        <v>176.65933948903483</v>
      </c>
      <c r="G60" s="22">
        <f t="shared" si="5"/>
        <v>15.253758229968486</v>
      </c>
    </row>
    <row r="61" spans="1:9">
      <c r="A61" s="17">
        <v>7.5</v>
      </c>
      <c r="B61" s="103" t="str">
        <f t="shared" si="0"/>
        <v>No Usar</v>
      </c>
      <c r="C61" s="93" t="str">
        <f t="shared" si="1"/>
        <v>No Usar</v>
      </c>
      <c r="D61" s="105" t="str">
        <f t="shared" si="2"/>
        <v>No Usar</v>
      </c>
      <c r="E61" s="22" t="str">
        <f t="shared" si="3"/>
        <v>No Usar</v>
      </c>
      <c r="F61" s="22" t="str">
        <f t="shared" si="4"/>
        <v>No Usar</v>
      </c>
      <c r="G61" s="22" t="str">
        <f t="shared" si="5"/>
        <v>No Usar</v>
      </c>
    </row>
    <row r="62" spans="1:9">
      <c r="A62" s="18" t="s">
        <v>5</v>
      </c>
      <c r="B62" s="19" t="s">
        <v>5</v>
      </c>
      <c r="C62" s="20" t="s">
        <v>5</v>
      </c>
      <c r="D62" s="20" t="s">
        <v>5</v>
      </c>
      <c r="E62" s="21" t="s">
        <v>5</v>
      </c>
      <c r="F62" s="21" t="s">
        <v>5</v>
      </c>
      <c r="G62" s="18" t="s">
        <v>5</v>
      </c>
      <c r="H62" s="35"/>
    </row>
    <row r="63" spans="1:9">
      <c r="A63" s="5" t="s">
        <v>471</v>
      </c>
      <c r="B63" s="1"/>
      <c r="C63" s="2"/>
      <c r="D63" s="2"/>
      <c r="E63" s="3"/>
      <c r="F63" s="3"/>
    </row>
    <row r="64" spans="1:9">
      <c r="A64" s="5" t="s">
        <v>472</v>
      </c>
      <c r="B64" s="1"/>
      <c r="C64" s="2"/>
      <c r="D64" s="2"/>
      <c r="E64" s="3"/>
      <c r="F64" s="3"/>
    </row>
    <row r="66" spans="1:1">
      <c r="A66" s="5"/>
    </row>
    <row r="67" spans="1:1">
      <c r="A67" s="5"/>
    </row>
  </sheetData>
  <sheetProtection sheet="1" objects="1" scenarios="1"/>
  <mergeCells count="1">
    <mergeCell ref="I8:I10"/>
  </mergeCells>
  <dataValidations count="1">
    <dataValidation type="list" allowBlank="1" showInputMessage="1" showErrorMessage="1" sqref="E17" xr:uid="{00000000-0002-0000-0600-000000000000}">
      <formula1>"Ensilaje de Alfalfa/Pasto 1, Ensilaje de Alfalfa/Pasto 2, Ensilaje de Alfalfa/Pasto 3, Ensilaje Maiz, Mi Ensilaje"</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T65"/>
  <sheetViews>
    <sheetView zoomScale="80" zoomScaleNormal="80" zoomScalePageLayoutView="80" workbookViewId="0"/>
  </sheetViews>
  <sheetFormatPr defaultColWidth="8.85546875" defaultRowHeight="12.75"/>
  <cols>
    <col min="1" max="1" width="21.85546875" customWidth="1"/>
    <col min="2" max="2" width="21.7109375" customWidth="1"/>
    <col min="3" max="3" width="23.140625" customWidth="1"/>
    <col min="4" max="4" width="48.85546875" customWidth="1"/>
    <col min="5" max="5" width="20.85546875" customWidth="1"/>
    <col min="6" max="6" width="13.42578125" customWidth="1"/>
    <col min="7" max="7" width="13" customWidth="1"/>
    <col min="8" max="8" width="12" customWidth="1"/>
    <col min="9" max="9" width="14.28515625" customWidth="1"/>
    <col min="10" max="10" width="16.7109375" customWidth="1"/>
    <col min="19" max="19" width="10.28515625" customWidth="1"/>
    <col min="20" max="20" width="10.7109375" customWidth="1"/>
  </cols>
  <sheetData>
    <row r="1" spans="1:20" ht="19.5">
      <c r="A1" s="173" t="s">
        <v>345</v>
      </c>
      <c r="B1" s="108"/>
      <c r="C1" s="109"/>
      <c r="D1" s="109"/>
      <c r="E1" s="110"/>
      <c r="F1" s="110"/>
      <c r="G1" s="107"/>
      <c r="H1" s="107"/>
      <c r="I1" s="107"/>
      <c r="J1" s="107"/>
      <c r="K1" s="107"/>
      <c r="L1" s="107"/>
      <c r="M1" s="107"/>
      <c r="N1" s="107"/>
      <c r="O1" s="107"/>
      <c r="P1" s="107"/>
      <c r="Q1" s="107"/>
      <c r="R1" s="107"/>
      <c r="S1" s="107"/>
      <c r="T1" s="107"/>
    </row>
    <row r="2" spans="1:20">
      <c r="A2" s="107"/>
      <c r="B2" s="114">
        <v>42140</v>
      </c>
      <c r="C2" s="109"/>
      <c r="D2" s="109"/>
      <c r="E2" s="110"/>
      <c r="F2" s="110"/>
      <c r="G2" s="107"/>
      <c r="H2" s="107"/>
      <c r="I2" s="107"/>
      <c r="J2" s="107"/>
      <c r="K2" s="107"/>
      <c r="L2" s="107"/>
      <c r="M2" s="107"/>
      <c r="N2" s="107"/>
      <c r="O2" s="107"/>
      <c r="P2" s="107"/>
      <c r="Q2" s="107"/>
      <c r="R2" s="107"/>
      <c r="S2" s="107"/>
      <c r="T2" s="107"/>
    </row>
    <row r="3" spans="1:20">
      <c r="A3" s="107" t="s">
        <v>1</v>
      </c>
      <c r="B3" s="108"/>
      <c r="C3" s="109"/>
      <c r="D3" s="109"/>
      <c r="E3" s="110"/>
      <c r="F3" s="110"/>
      <c r="G3" s="107"/>
      <c r="H3" s="107"/>
      <c r="I3" s="107"/>
      <c r="J3" s="107"/>
      <c r="K3" s="107"/>
      <c r="L3" s="107"/>
      <c r="M3" s="107"/>
      <c r="N3" s="107"/>
      <c r="O3" s="107"/>
      <c r="P3" s="107"/>
      <c r="Q3" s="107"/>
      <c r="R3" s="107"/>
      <c r="S3" s="107"/>
      <c r="T3" s="107"/>
    </row>
    <row r="4" spans="1:20">
      <c r="A4" s="107" t="s">
        <v>394</v>
      </c>
      <c r="B4" s="108"/>
      <c r="C4" s="109"/>
      <c r="D4" s="109"/>
      <c r="E4" s="110"/>
      <c r="F4" s="110"/>
      <c r="G4" s="107"/>
      <c r="H4" s="107"/>
      <c r="I4" s="107"/>
      <c r="J4" s="107"/>
      <c r="K4" s="107"/>
      <c r="L4" s="107"/>
      <c r="M4" s="107"/>
      <c r="N4" s="107"/>
      <c r="O4" s="107"/>
      <c r="P4" s="107"/>
      <c r="Q4" s="107"/>
      <c r="R4" s="107"/>
      <c r="S4" s="107"/>
      <c r="T4" s="107"/>
    </row>
    <row r="5" spans="1:20">
      <c r="A5" s="107" t="s">
        <v>3</v>
      </c>
      <c r="B5" s="108"/>
      <c r="C5" s="109"/>
      <c r="D5" s="109"/>
      <c r="E5" s="110"/>
      <c r="F5" s="110"/>
      <c r="G5" s="107"/>
      <c r="H5" s="107"/>
      <c r="I5" s="107"/>
      <c r="J5" s="107"/>
      <c r="K5" s="107"/>
      <c r="L5" s="107"/>
      <c r="M5" s="107"/>
      <c r="N5" s="107"/>
      <c r="O5" s="107"/>
      <c r="P5" s="107"/>
      <c r="Q5" s="107"/>
      <c r="R5" s="107"/>
      <c r="S5" s="107"/>
      <c r="T5" s="107"/>
    </row>
    <row r="6" spans="1:20" ht="19.5">
      <c r="A6" s="107" t="s">
        <v>4</v>
      </c>
      <c r="B6" s="108"/>
      <c r="C6" s="109"/>
      <c r="D6" s="109"/>
      <c r="E6" s="110"/>
      <c r="F6" s="110"/>
      <c r="G6" s="107"/>
      <c r="H6" s="107"/>
      <c r="I6" s="170" t="s">
        <v>418</v>
      </c>
      <c r="J6" s="148"/>
      <c r="K6" s="148"/>
      <c r="L6" s="148"/>
      <c r="M6" s="148"/>
      <c r="N6" s="148"/>
      <c r="O6" s="148"/>
      <c r="P6" s="148"/>
      <c r="Q6" s="148"/>
      <c r="R6" s="148"/>
      <c r="S6" s="148"/>
      <c r="T6" s="148"/>
    </row>
    <row r="7" spans="1:20">
      <c r="A7" s="107" t="s">
        <v>346</v>
      </c>
      <c r="B7" s="108"/>
      <c r="C7" s="109"/>
      <c r="D7" s="109"/>
      <c r="E7" s="110"/>
      <c r="F7" s="110"/>
      <c r="G7" s="107"/>
      <c r="H7" s="107"/>
      <c r="I7" s="167" t="s">
        <v>398</v>
      </c>
      <c r="J7" s="149"/>
      <c r="K7" s="149"/>
      <c r="L7" s="149"/>
      <c r="M7" s="149"/>
      <c r="N7" s="149"/>
      <c r="O7" s="149"/>
      <c r="P7" s="149"/>
      <c r="Q7" s="168" t="s">
        <v>399</v>
      </c>
      <c r="R7" s="166"/>
      <c r="S7" s="166"/>
      <c r="T7" s="166"/>
    </row>
    <row r="8" spans="1:20">
      <c r="A8" s="6" t="s">
        <v>75</v>
      </c>
      <c r="B8" s="108"/>
      <c r="C8" s="109"/>
      <c r="D8" s="109"/>
      <c r="E8" s="110"/>
      <c r="F8" s="110"/>
      <c r="G8" s="107"/>
      <c r="H8" s="107"/>
      <c r="I8" s="148"/>
      <c r="J8" s="148"/>
      <c r="K8" s="148"/>
      <c r="L8" s="148"/>
      <c r="M8" s="148"/>
      <c r="N8" s="148"/>
      <c r="O8" s="148" t="s">
        <v>347</v>
      </c>
      <c r="P8" s="148"/>
      <c r="Q8" s="151"/>
      <c r="R8" s="151"/>
      <c r="S8" s="151"/>
      <c r="T8" s="151" t="s">
        <v>347</v>
      </c>
    </row>
    <row r="9" spans="1:20">
      <c r="A9" s="107"/>
      <c r="B9" s="108"/>
      <c r="C9" s="109"/>
      <c r="D9" s="109"/>
      <c r="E9" s="110"/>
      <c r="F9" s="110"/>
      <c r="G9" s="107"/>
      <c r="H9" s="107"/>
      <c r="I9" s="148"/>
      <c r="J9" s="148" t="s">
        <v>416</v>
      </c>
      <c r="K9" s="148"/>
      <c r="L9" s="148" t="s">
        <v>348</v>
      </c>
      <c r="M9" s="148" t="s">
        <v>349</v>
      </c>
      <c r="N9" s="148" t="s">
        <v>350</v>
      </c>
      <c r="O9" s="148" t="s">
        <v>351</v>
      </c>
      <c r="P9" s="148"/>
      <c r="Q9" s="151" t="s">
        <v>348</v>
      </c>
      <c r="R9" s="151" t="s">
        <v>349</v>
      </c>
      <c r="S9" s="151" t="s">
        <v>350</v>
      </c>
      <c r="T9" s="151" t="s">
        <v>351</v>
      </c>
    </row>
    <row r="10" spans="1:20">
      <c r="H10" s="107"/>
      <c r="I10" s="148"/>
      <c r="J10" s="148" t="s">
        <v>415</v>
      </c>
      <c r="K10" s="148"/>
      <c r="L10" s="148"/>
      <c r="M10" s="148"/>
      <c r="N10" s="148"/>
      <c r="O10" s="148"/>
      <c r="P10" s="148"/>
      <c r="Q10" s="151"/>
      <c r="R10" s="151"/>
      <c r="S10" s="151"/>
      <c r="T10" s="151"/>
    </row>
    <row r="11" spans="1:20">
      <c r="H11" s="107"/>
      <c r="I11" s="148" t="s">
        <v>352</v>
      </c>
      <c r="J11" s="148" t="s">
        <v>414</v>
      </c>
      <c r="K11" s="148" t="s">
        <v>413</v>
      </c>
      <c r="L11" s="148" t="s">
        <v>401</v>
      </c>
      <c r="M11" s="148"/>
      <c r="N11" s="148"/>
      <c r="O11" s="148"/>
      <c r="P11" s="148"/>
      <c r="Q11" s="148" t="s">
        <v>400</v>
      </c>
      <c r="R11" s="148"/>
      <c r="S11" s="148"/>
      <c r="T11" s="148"/>
    </row>
    <row r="12" spans="1:20">
      <c r="B12" s="108"/>
      <c r="C12" s="8" t="s">
        <v>410</v>
      </c>
      <c r="D12" s="8"/>
      <c r="E12" s="44"/>
      <c r="F12" s="44"/>
      <c r="G12" s="107"/>
      <c r="H12" s="107"/>
      <c r="I12" s="149" t="s">
        <v>5</v>
      </c>
      <c r="J12" s="149" t="s">
        <v>5</v>
      </c>
      <c r="K12" s="149" t="s">
        <v>5</v>
      </c>
      <c r="L12" s="149" t="s">
        <v>5</v>
      </c>
      <c r="M12" s="149" t="s">
        <v>5</v>
      </c>
      <c r="N12" s="149" t="s">
        <v>5</v>
      </c>
      <c r="O12" s="149" t="s">
        <v>5</v>
      </c>
      <c r="P12" s="149" t="s">
        <v>5</v>
      </c>
      <c r="Q12" s="149" t="s">
        <v>5</v>
      </c>
      <c r="R12" s="149" t="s">
        <v>5</v>
      </c>
      <c r="S12" s="149" t="s">
        <v>5</v>
      </c>
      <c r="T12" s="149" t="s">
        <v>5</v>
      </c>
    </row>
    <row r="13" spans="1:20" ht="19.5">
      <c r="A13" s="171" t="s">
        <v>355</v>
      </c>
      <c r="B13" s="108"/>
      <c r="C13" s="109"/>
      <c r="D13" s="109"/>
      <c r="E13" s="110"/>
      <c r="F13" s="110"/>
      <c r="G13" s="107"/>
      <c r="H13" s="107"/>
      <c r="I13" s="148" t="s">
        <v>353</v>
      </c>
      <c r="J13" s="148"/>
      <c r="K13" s="150">
        <f>SUM(J14:J17)</f>
        <v>68</v>
      </c>
      <c r="L13" s="148"/>
      <c r="M13" s="148"/>
      <c r="N13" s="148"/>
      <c r="O13" s="148"/>
      <c r="P13" s="148"/>
      <c r="Q13" s="148"/>
      <c r="R13" s="148"/>
      <c r="S13" s="148"/>
      <c r="T13" s="148"/>
    </row>
    <row r="14" spans="1:20">
      <c r="A14" s="160" t="s">
        <v>341</v>
      </c>
      <c r="B14" s="157"/>
      <c r="C14" s="158"/>
      <c r="D14" s="158"/>
      <c r="E14" s="159"/>
      <c r="F14" s="159"/>
      <c r="G14" s="111"/>
      <c r="H14" s="107"/>
      <c r="I14" s="151" t="s">
        <v>354</v>
      </c>
      <c r="J14" s="106">
        <v>8</v>
      </c>
      <c r="K14" s="153"/>
      <c r="L14" s="11">
        <v>0</v>
      </c>
      <c r="M14" s="11">
        <v>0</v>
      </c>
      <c r="N14" s="11">
        <v>9.1</v>
      </c>
      <c r="O14" s="11">
        <v>0</v>
      </c>
      <c r="P14" s="148"/>
      <c r="Q14" s="162">
        <f>J14*L14</f>
        <v>0</v>
      </c>
      <c r="R14" s="162">
        <f>J14*M14</f>
        <v>0</v>
      </c>
      <c r="S14" s="162">
        <f>J14*N14</f>
        <v>72.8</v>
      </c>
      <c r="T14" s="162">
        <f>J14*O14</f>
        <v>0</v>
      </c>
    </row>
    <row r="15" spans="1:20" ht="15.75">
      <c r="A15" s="181" t="s">
        <v>405</v>
      </c>
      <c r="B15" s="27"/>
      <c r="C15" s="8"/>
      <c r="D15" s="8"/>
      <c r="E15" s="12">
        <v>2.7</v>
      </c>
      <c r="F15" s="9"/>
      <c r="G15" s="35"/>
      <c r="H15" s="35"/>
      <c r="I15" s="151" t="s">
        <v>356</v>
      </c>
      <c r="J15" s="106">
        <v>22</v>
      </c>
      <c r="K15" s="153"/>
      <c r="L15" s="11">
        <v>0</v>
      </c>
      <c r="M15" s="11">
        <v>4.5</v>
      </c>
      <c r="N15" s="11">
        <v>6.8</v>
      </c>
      <c r="O15" s="11">
        <v>0</v>
      </c>
      <c r="P15" s="148"/>
      <c r="Q15" s="162">
        <f>J15*L15</f>
        <v>0</v>
      </c>
      <c r="R15" s="162">
        <f>J15*M15</f>
        <v>99</v>
      </c>
      <c r="S15" s="162">
        <f>J15*N15</f>
        <v>149.6</v>
      </c>
      <c r="T15" s="162">
        <f>J15*O15</f>
        <v>0</v>
      </c>
    </row>
    <row r="16" spans="1:20" ht="15.75">
      <c r="A16" s="182"/>
      <c r="B16" s="29"/>
      <c r="C16" s="30"/>
      <c r="D16" s="30"/>
      <c r="E16" s="31"/>
      <c r="F16" s="31"/>
      <c r="G16" s="34"/>
      <c r="H16" s="35"/>
      <c r="I16" s="151" t="s">
        <v>357</v>
      </c>
      <c r="J16" s="106">
        <v>22</v>
      </c>
      <c r="K16" s="153"/>
      <c r="L16" s="11">
        <v>0</v>
      </c>
      <c r="M16" s="11">
        <v>4.4000000000000004</v>
      </c>
      <c r="N16" s="11">
        <v>6.8</v>
      </c>
      <c r="O16" s="11">
        <v>0</v>
      </c>
      <c r="P16" s="148"/>
      <c r="Q16" s="162">
        <f>J16*L16</f>
        <v>0</v>
      </c>
      <c r="R16" s="162">
        <f>J16*M16</f>
        <v>96.800000000000011</v>
      </c>
      <c r="S16" s="162">
        <f>J16*N16</f>
        <v>149.6</v>
      </c>
      <c r="T16" s="162">
        <f>J16*O16</f>
        <v>0</v>
      </c>
    </row>
    <row r="17" spans="1:20" ht="15.75">
      <c r="A17" s="183" t="s">
        <v>397</v>
      </c>
      <c r="B17" s="27"/>
      <c r="C17" s="8"/>
      <c r="D17" s="8"/>
      <c r="E17" s="121" t="s">
        <v>435</v>
      </c>
      <c r="F17" s="53" t="s">
        <v>406</v>
      </c>
      <c r="I17" s="151" t="s">
        <v>358</v>
      </c>
      <c r="J17" s="106">
        <v>16</v>
      </c>
      <c r="K17" s="153"/>
      <c r="L17" s="11">
        <v>0</v>
      </c>
      <c r="M17" s="11">
        <v>9.1</v>
      </c>
      <c r="N17" s="11">
        <v>0</v>
      </c>
      <c r="O17" s="11">
        <v>1.4</v>
      </c>
      <c r="P17" s="148"/>
      <c r="Q17" s="162">
        <f>J17*L17</f>
        <v>0</v>
      </c>
      <c r="R17" s="162">
        <f>J17*M17</f>
        <v>145.6</v>
      </c>
      <c r="S17" s="162">
        <f>J17*N17</f>
        <v>0</v>
      </c>
      <c r="T17" s="162">
        <f>J17*O17</f>
        <v>22.4</v>
      </c>
    </row>
    <row r="18" spans="1:20" ht="15.75">
      <c r="A18" s="181"/>
      <c r="B18" s="27"/>
      <c r="C18" s="8"/>
      <c r="D18" s="8"/>
      <c r="E18" s="32"/>
      <c r="F18" s="53" t="s">
        <v>407</v>
      </c>
      <c r="I18" s="148"/>
      <c r="J18" s="156"/>
      <c r="K18" s="153"/>
      <c r="L18" s="43"/>
      <c r="M18" s="43"/>
      <c r="N18" s="43"/>
      <c r="O18" s="43"/>
      <c r="P18" s="148"/>
      <c r="Q18" s="162"/>
      <c r="R18" s="162"/>
      <c r="S18" s="162"/>
      <c r="T18" s="162"/>
    </row>
    <row r="19" spans="1:20" ht="15.75">
      <c r="A19" s="181" t="s">
        <v>408</v>
      </c>
      <c r="B19" s="27"/>
      <c r="C19" s="8"/>
      <c r="D19" s="8"/>
      <c r="E19" s="161">
        <f>IF(E17="Kukorica szilazs",T42,IF(E17="Szenazs 1",Q42, IF(E17="Szenazs 2",R42,IF(E17="Szenazs 3", S42,IF(E17="Az én szilázsom",F21)))))</f>
        <v>2721</v>
      </c>
      <c r="F19" s="54" t="str">
        <f>IF(E17="Az én szilázsom", " ", "Szilázs szárazanyag-szükséglet kalkulátor")</f>
        <v xml:space="preserve"> </v>
      </c>
      <c r="G19" s="55"/>
      <c r="H19" s="55"/>
      <c r="I19" s="148" t="s">
        <v>359</v>
      </c>
      <c r="J19" s="106">
        <v>20</v>
      </c>
      <c r="K19" s="150">
        <f>J19</f>
        <v>20</v>
      </c>
      <c r="L19" s="11">
        <v>6.8</v>
      </c>
      <c r="M19" s="11">
        <v>4.5</v>
      </c>
      <c r="N19" s="11">
        <v>0</v>
      </c>
      <c r="O19" s="11">
        <v>1.4</v>
      </c>
      <c r="P19" s="148"/>
      <c r="Q19" s="162">
        <f>J19*L19</f>
        <v>136</v>
      </c>
      <c r="R19" s="162">
        <f>J19*M19</f>
        <v>90</v>
      </c>
      <c r="S19" s="162">
        <f>J19*N19</f>
        <v>0</v>
      </c>
      <c r="T19" s="162">
        <f>J19*O19</f>
        <v>28</v>
      </c>
    </row>
    <row r="20" spans="1:20" ht="15.75">
      <c r="A20" s="181"/>
      <c r="B20" s="27"/>
      <c r="C20" s="8"/>
      <c r="D20" s="8"/>
      <c r="E20" s="32"/>
      <c r="F20" s="54" t="str">
        <f>IF(E17="Az én szilázsom", " ", "Táblázat, Sor 42")</f>
        <v xml:space="preserve"> </v>
      </c>
      <c r="G20" s="55"/>
      <c r="H20" s="55"/>
      <c r="I20" s="148"/>
      <c r="J20" s="156"/>
      <c r="K20" s="150"/>
      <c r="L20" s="43"/>
      <c r="M20" s="43"/>
      <c r="N20" s="43"/>
      <c r="O20" s="43"/>
      <c r="P20" s="148"/>
      <c r="Q20" s="162"/>
      <c r="R20" s="162"/>
      <c r="S20" s="162"/>
      <c r="T20" s="162"/>
    </row>
    <row r="21" spans="1:20" ht="15.75">
      <c r="A21" s="180" t="str">
        <f>IF(E17="Az én szilázsom", "Az én szilázsom, ha nem Szilázs szárazanyag-szükséglet kalkulátor Táblázat, Sor 42  (kg sza./állomány/nap) =", "  ")</f>
        <v>Az én szilázsom, ha nem Szilázs szárazanyag-szükséglet kalkulátor Táblázat, Sor 42  (kg sza./állomány/nap) =</v>
      </c>
      <c r="B21" s="56"/>
      <c r="C21" s="56"/>
      <c r="D21" s="8"/>
      <c r="E21" s="32"/>
      <c r="F21" s="63">
        <v>2721</v>
      </c>
      <c r="G21" s="58" t="str">
        <f>IF(E17="My Silage","My Silage","   ")</f>
        <v xml:space="preserve">   </v>
      </c>
      <c r="I21" s="148" t="s">
        <v>360</v>
      </c>
      <c r="J21" s="106">
        <v>6</v>
      </c>
      <c r="K21" s="150">
        <f>J21</f>
        <v>6</v>
      </c>
      <c r="L21" s="11">
        <v>4.5</v>
      </c>
      <c r="M21" s="11">
        <v>2.2999999999999998</v>
      </c>
      <c r="N21" s="11">
        <v>0</v>
      </c>
      <c r="O21" s="11">
        <v>4.5</v>
      </c>
      <c r="P21" s="148"/>
      <c r="Q21" s="162">
        <f>J21*L21</f>
        <v>27</v>
      </c>
      <c r="R21" s="162">
        <f>J21*M21</f>
        <v>13.799999999999999</v>
      </c>
      <c r="S21" s="162">
        <f>J21*N21</f>
        <v>0</v>
      </c>
      <c r="T21" s="162">
        <f>J21*O21</f>
        <v>27</v>
      </c>
    </row>
    <row r="22" spans="1:20" ht="15.75">
      <c r="A22" s="183" t="s">
        <v>361</v>
      </c>
      <c r="B22" s="117"/>
      <c r="C22" s="118"/>
      <c r="D22" s="118"/>
      <c r="E22" s="113">
        <v>10</v>
      </c>
      <c r="F22" s="115"/>
      <c r="G22" s="107"/>
      <c r="H22" s="107"/>
      <c r="I22" s="148"/>
      <c r="J22" s="156"/>
      <c r="K22" s="150"/>
      <c r="L22" s="43"/>
      <c r="M22" s="43"/>
      <c r="N22" s="43"/>
      <c r="O22" s="43"/>
      <c r="P22" s="148"/>
      <c r="Q22" s="162"/>
      <c r="R22" s="162"/>
      <c r="S22" s="162"/>
      <c r="T22" s="162"/>
    </row>
    <row r="23" spans="1:20" ht="15.75">
      <c r="A23" s="183"/>
      <c r="B23" s="117"/>
      <c r="C23" s="118"/>
      <c r="D23" s="118"/>
      <c r="E23" s="119"/>
      <c r="F23" s="115"/>
      <c r="G23" s="107"/>
      <c r="H23" s="107"/>
      <c r="I23" s="148" t="s">
        <v>362</v>
      </c>
      <c r="J23" s="106">
        <v>110</v>
      </c>
      <c r="K23" s="150">
        <f>J23</f>
        <v>110</v>
      </c>
      <c r="L23" s="11">
        <v>4.5</v>
      </c>
      <c r="M23" s="11">
        <v>0</v>
      </c>
      <c r="N23" s="11">
        <v>0</v>
      </c>
      <c r="O23" s="11">
        <v>6.8</v>
      </c>
      <c r="P23" s="148"/>
      <c r="Q23" s="162">
        <f>J23*L23</f>
        <v>495</v>
      </c>
      <c r="R23" s="162">
        <f>J23*M23</f>
        <v>0</v>
      </c>
      <c r="S23" s="162">
        <f>J23*N23</f>
        <v>0</v>
      </c>
      <c r="T23" s="162">
        <f>J23*O23</f>
        <v>748</v>
      </c>
    </row>
    <row r="24" spans="1:20" ht="15.75">
      <c r="A24" s="183"/>
      <c r="B24" s="117"/>
      <c r="C24" s="118"/>
      <c r="D24" s="118"/>
      <c r="E24" s="119"/>
      <c r="F24" s="115"/>
      <c r="G24" s="185" t="s">
        <v>422</v>
      </c>
      <c r="H24" s="191">
        <f>E32*39.37</f>
        <v>11.810999999999998</v>
      </c>
      <c r="I24" s="148"/>
      <c r="J24" s="204"/>
      <c r="K24" s="150"/>
      <c r="L24" s="200"/>
      <c r="M24" s="200"/>
      <c r="N24" s="200"/>
      <c r="O24" s="200"/>
      <c r="P24" s="148"/>
      <c r="Q24" s="162"/>
      <c r="R24" s="162"/>
      <c r="S24" s="162"/>
      <c r="T24" s="162"/>
    </row>
    <row r="25" spans="1:20" ht="15">
      <c r="A25" s="184" t="s">
        <v>437</v>
      </c>
      <c r="B25" s="10"/>
      <c r="C25" s="10"/>
      <c r="D25" s="118"/>
      <c r="E25" s="113">
        <v>5</v>
      </c>
      <c r="F25" s="115"/>
      <c r="G25" s="185" t="s">
        <v>423</v>
      </c>
      <c r="H25" s="191">
        <f>E28*0.062</f>
        <v>43.71</v>
      </c>
      <c r="I25" s="148" t="s">
        <v>363</v>
      </c>
      <c r="J25" s="204"/>
      <c r="K25" s="150">
        <f>SUM(J26:J28)</f>
        <v>226</v>
      </c>
      <c r="L25" s="200"/>
      <c r="M25" s="200"/>
      <c r="N25" s="200"/>
      <c r="O25" s="200"/>
      <c r="P25" s="148"/>
      <c r="Q25" s="162"/>
      <c r="R25" s="162"/>
      <c r="S25" s="162"/>
      <c r="T25" s="162"/>
    </row>
    <row r="26" spans="1:20" ht="15">
      <c r="A26" s="184" t="s">
        <v>436</v>
      </c>
      <c r="B26" s="117"/>
      <c r="C26" s="118"/>
      <c r="D26" s="118"/>
      <c r="E26" s="119"/>
      <c r="F26" s="115"/>
      <c r="G26" s="185" t="s">
        <v>424</v>
      </c>
      <c r="H26" s="191">
        <f>100-E30</f>
        <v>33</v>
      </c>
      <c r="I26" s="151" t="s">
        <v>364</v>
      </c>
      <c r="J26" s="106">
        <v>90</v>
      </c>
      <c r="K26" s="153"/>
      <c r="L26" s="11">
        <v>4.5</v>
      </c>
      <c r="M26" s="11">
        <v>0</v>
      </c>
      <c r="N26" s="11">
        <v>0</v>
      </c>
      <c r="O26" s="11">
        <v>6.8</v>
      </c>
      <c r="P26" s="148"/>
      <c r="Q26" s="162">
        <f>J26*L26</f>
        <v>405</v>
      </c>
      <c r="R26" s="162">
        <f>J26*M26</f>
        <v>0</v>
      </c>
      <c r="S26" s="162">
        <f>J26*N26</f>
        <v>0</v>
      </c>
      <c r="T26" s="162">
        <f>J26*O26</f>
        <v>612</v>
      </c>
    </row>
    <row r="27" spans="1:20" ht="15.75">
      <c r="A27" s="183"/>
      <c r="B27" s="117"/>
      <c r="C27" s="118"/>
      <c r="D27" s="118"/>
      <c r="E27" s="119"/>
      <c r="F27" s="115"/>
      <c r="G27" s="185" t="s">
        <v>425</v>
      </c>
      <c r="H27" s="191">
        <f>H25*H26/100</f>
        <v>14.424300000000001</v>
      </c>
      <c r="I27" s="151" t="s">
        <v>365</v>
      </c>
      <c r="J27" s="106">
        <v>68</v>
      </c>
      <c r="K27" s="153"/>
      <c r="L27" s="11">
        <v>6.8</v>
      </c>
      <c r="M27" s="11">
        <v>2.2999999999999998</v>
      </c>
      <c r="N27" s="11">
        <v>0</v>
      </c>
      <c r="O27" s="11">
        <v>4.5</v>
      </c>
      <c r="P27" s="148"/>
      <c r="Q27" s="162">
        <f>J27*L27</f>
        <v>462.4</v>
      </c>
      <c r="R27" s="162">
        <f>J27*M27</f>
        <v>156.39999999999998</v>
      </c>
      <c r="S27" s="162">
        <f>J27*N27</f>
        <v>0</v>
      </c>
      <c r="T27" s="162">
        <f>J27*O27</f>
        <v>306</v>
      </c>
    </row>
    <row r="28" spans="1:20" ht="15.75">
      <c r="A28" s="183" t="s">
        <v>396</v>
      </c>
      <c r="B28" s="117"/>
      <c r="C28" s="118"/>
      <c r="D28" s="118"/>
      <c r="E28" s="12">
        <v>705</v>
      </c>
      <c r="F28" s="115"/>
      <c r="G28" s="185" t="s">
        <v>426</v>
      </c>
      <c r="H28" s="191">
        <f>100*(1-(H27/(62.4*1.5)+(H25-H27)/62.4))</f>
        <v>37.657211538461532</v>
      </c>
      <c r="I28" s="151" t="s">
        <v>366</v>
      </c>
      <c r="J28" s="106">
        <v>68</v>
      </c>
      <c r="K28" s="153"/>
      <c r="L28" s="11">
        <v>4.5</v>
      </c>
      <c r="M28" s="11">
        <v>4.5</v>
      </c>
      <c r="N28" s="11">
        <v>0</v>
      </c>
      <c r="O28" s="11">
        <v>4.5</v>
      </c>
      <c r="P28" s="148"/>
      <c r="Q28" s="162">
        <f>J28*L28</f>
        <v>306</v>
      </c>
      <c r="R28" s="162">
        <f>J28*M28</f>
        <v>306</v>
      </c>
      <c r="S28" s="162">
        <f>J28*N28</f>
        <v>0</v>
      </c>
      <c r="T28" s="162">
        <f>J28*O28</f>
        <v>306</v>
      </c>
    </row>
    <row r="29" spans="1:20" ht="15.75">
      <c r="A29" s="183"/>
      <c r="B29" s="117"/>
      <c r="C29" s="118"/>
      <c r="D29" s="118"/>
      <c r="E29" s="120"/>
      <c r="F29" s="115"/>
      <c r="G29" s="185" t="s">
        <v>427</v>
      </c>
      <c r="H29" s="191">
        <f>40*H26/100</f>
        <v>13.2</v>
      </c>
      <c r="I29" s="148"/>
      <c r="J29" s="204"/>
      <c r="K29" s="150"/>
      <c r="L29" s="200"/>
      <c r="M29" s="200"/>
      <c r="N29" s="200"/>
      <c r="O29" s="200"/>
      <c r="P29" s="148"/>
      <c r="Q29" s="162"/>
      <c r="R29" s="162"/>
      <c r="S29" s="162"/>
      <c r="T29" s="162"/>
    </row>
    <row r="30" spans="1:20" ht="15.75">
      <c r="A30" s="183" t="s">
        <v>367</v>
      </c>
      <c r="B30" s="117"/>
      <c r="C30" s="118"/>
      <c r="D30" s="118"/>
      <c r="E30" s="12">
        <v>67</v>
      </c>
      <c r="F30" s="115"/>
      <c r="G30" s="185" t="s">
        <v>428</v>
      </c>
      <c r="H30" s="191">
        <f>100*(1-(H29/(62.4*1.5)+(40-H29)/62.4))</f>
        <v>42.948717948717949</v>
      </c>
      <c r="I30" s="148" t="s">
        <v>368</v>
      </c>
      <c r="J30" s="106">
        <v>10</v>
      </c>
      <c r="K30" s="154">
        <f>J30</f>
        <v>10</v>
      </c>
      <c r="L30" s="11">
        <v>11.4</v>
      </c>
      <c r="M30" s="11">
        <v>2.2999999999999998</v>
      </c>
      <c r="N30" s="11">
        <v>0</v>
      </c>
      <c r="O30" s="11">
        <v>2.2999999999999998</v>
      </c>
      <c r="P30" s="148"/>
      <c r="Q30" s="162">
        <f>J30*L30</f>
        <v>114</v>
      </c>
      <c r="R30" s="162">
        <f>J30*M30</f>
        <v>23</v>
      </c>
      <c r="S30" s="162">
        <f>J30*N30</f>
        <v>0</v>
      </c>
      <c r="T30" s="162">
        <f>J30*O30</f>
        <v>23</v>
      </c>
    </row>
    <row r="31" spans="1:20" ht="15.75">
      <c r="A31" s="183"/>
      <c r="B31" s="117"/>
      <c r="C31" s="118"/>
      <c r="D31" s="118"/>
      <c r="E31" s="120"/>
      <c r="F31" s="115"/>
      <c r="G31" s="188"/>
      <c r="H31" s="194"/>
      <c r="I31" s="149" t="s">
        <v>39</v>
      </c>
      <c r="J31" s="205" t="s">
        <v>39</v>
      </c>
      <c r="K31" s="155" t="s">
        <v>39</v>
      </c>
      <c r="L31" s="201" t="s">
        <v>39</v>
      </c>
      <c r="M31" s="201" t="s">
        <v>39</v>
      </c>
      <c r="N31" s="201" t="s">
        <v>39</v>
      </c>
      <c r="O31" s="201" t="s">
        <v>39</v>
      </c>
      <c r="P31" s="149" t="s">
        <v>39</v>
      </c>
      <c r="Q31" s="149" t="s">
        <v>39</v>
      </c>
      <c r="R31" s="149" t="s">
        <v>39</v>
      </c>
      <c r="S31" s="149" t="s">
        <v>39</v>
      </c>
      <c r="T31" s="149" t="s">
        <v>39</v>
      </c>
    </row>
    <row r="32" spans="1:20" ht="15.75">
      <c r="A32" s="183" t="s">
        <v>404</v>
      </c>
      <c r="B32" s="117"/>
      <c r="C32" s="118"/>
      <c r="D32" s="118"/>
      <c r="E32" s="12">
        <v>0.3</v>
      </c>
      <c r="F32" s="115"/>
      <c r="G32" s="189">
        <f>(3+((H26-35)/100))*(H28/H30)*(6/H24)</f>
        <v>1.3273296585399141</v>
      </c>
      <c r="H32" s="188"/>
      <c r="I32" s="148" t="s">
        <v>369</v>
      </c>
      <c r="J32" s="204" t="s">
        <v>417</v>
      </c>
      <c r="K32" s="150">
        <f>SUM(K13:K30)</f>
        <v>440</v>
      </c>
      <c r="L32" s="200"/>
      <c r="M32" s="200"/>
      <c r="N32" s="200"/>
      <c r="O32" s="200"/>
      <c r="P32" s="148"/>
      <c r="Q32" s="148"/>
      <c r="R32" s="148"/>
      <c r="S32" s="148"/>
      <c r="T32" s="148"/>
    </row>
    <row r="33" spans="1:20" ht="15.75">
      <c r="A33" s="183"/>
      <c r="B33" s="117"/>
      <c r="C33" s="118"/>
      <c r="D33" s="118"/>
      <c r="E33" s="119"/>
      <c r="F33" s="115"/>
      <c r="G33" s="107"/>
      <c r="H33" s="107"/>
      <c r="I33" s="152"/>
      <c r="J33" s="204"/>
      <c r="K33" s="150"/>
      <c r="L33" s="200"/>
      <c r="M33" s="200"/>
      <c r="N33" s="200"/>
      <c r="O33" s="200"/>
      <c r="P33" s="148"/>
      <c r="Q33" s="148"/>
      <c r="R33" s="148"/>
      <c r="S33" s="148"/>
      <c r="T33" s="148"/>
    </row>
    <row r="34" spans="1:20" ht="15.75">
      <c r="A34" s="183" t="s">
        <v>409</v>
      </c>
      <c r="B34" s="117"/>
      <c r="C34" s="118"/>
      <c r="D34" s="118"/>
      <c r="E34" s="113">
        <v>360</v>
      </c>
      <c r="F34" s="115"/>
      <c r="G34" s="107"/>
      <c r="H34" s="107"/>
      <c r="I34" s="148" t="s">
        <v>370</v>
      </c>
      <c r="J34" s="204"/>
      <c r="K34" s="150"/>
      <c r="L34" s="200"/>
      <c r="M34" s="200"/>
      <c r="N34" s="200"/>
      <c r="O34" s="200"/>
      <c r="P34" s="148"/>
      <c r="Q34" s="148"/>
      <c r="R34" s="148"/>
      <c r="S34" s="148"/>
      <c r="T34" s="148"/>
    </row>
    <row r="35" spans="1:20" ht="15.75">
      <c r="A35" s="183"/>
      <c r="B35" s="117"/>
      <c r="C35" s="118"/>
      <c r="D35" s="118"/>
      <c r="E35" s="119"/>
      <c r="F35" s="115"/>
      <c r="G35" s="107"/>
      <c r="H35" s="107"/>
      <c r="I35" s="151" t="s">
        <v>371</v>
      </c>
      <c r="J35" s="106">
        <v>48</v>
      </c>
      <c r="K35" s="153"/>
      <c r="L35" s="11">
        <v>1.4</v>
      </c>
      <c r="M35" s="11">
        <v>0</v>
      </c>
      <c r="N35" s="11">
        <v>0</v>
      </c>
      <c r="O35" s="11">
        <v>0.9</v>
      </c>
      <c r="P35" s="148"/>
      <c r="Q35" s="162">
        <f>J35*L35</f>
        <v>67.199999999999989</v>
      </c>
      <c r="R35" s="162">
        <f>J35*M35</f>
        <v>0</v>
      </c>
      <c r="S35" s="162">
        <f>J35*N35</f>
        <v>0</v>
      </c>
      <c r="T35" s="162">
        <f>J35*O35</f>
        <v>43.2</v>
      </c>
    </row>
    <row r="36" spans="1:20" ht="15.75">
      <c r="A36" s="183" t="s">
        <v>395</v>
      </c>
      <c r="B36" s="117"/>
      <c r="C36" s="118"/>
      <c r="D36" s="118"/>
      <c r="E36" s="113">
        <v>46</v>
      </c>
      <c r="F36" s="115"/>
      <c r="G36" s="107"/>
      <c r="H36" s="107"/>
      <c r="I36" s="151" t="s">
        <v>372</v>
      </c>
      <c r="J36" s="106">
        <v>48</v>
      </c>
      <c r="K36" s="153"/>
      <c r="L36" s="11">
        <v>2.2999999999999998</v>
      </c>
      <c r="M36" s="11">
        <v>0</v>
      </c>
      <c r="N36" s="11">
        <v>0</v>
      </c>
      <c r="O36" s="11">
        <v>1.4</v>
      </c>
      <c r="P36" s="148"/>
      <c r="Q36" s="162">
        <f>J36*L36</f>
        <v>110.39999999999999</v>
      </c>
      <c r="R36" s="162">
        <f>J36*M36</f>
        <v>0</v>
      </c>
      <c r="S36" s="162">
        <f>J36*N36</f>
        <v>0</v>
      </c>
      <c r="T36" s="162">
        <f>J36*O36</f>
        <v>67.199999999999989</v>
      </c>
    </row>
    <row r="37" spans="1:20" ht="15.75">
      <c r="A37" s="183"/>
      <c r="B37" s="117"/>
      <c r="C37" s="118"/>
      <c r="D37" s="118"/>
      <c r="E37" s="115"/>
      <c r="F37" s="115"/>
      <c r="G37" s="107"/>
      <c r="H37" s="107"/>
      <c r="I37" s="151" t="s">
        <v>373</v>
      </c>
      <c r="J37" s="106">
        <v>72</v>
      </c>
      <c r="K37" s="153"/>
      <c r="L37" s="11">
        <v>1.8</v>
      </c>
      <c r="M37" s="11">
        <v>0.9</v>
      </c>
      <c r="N37" s="11">
        <v>0</v>
      </c>
      <c r="O37" s="11">
        <v>2.2999999999999998</v>
      </c>
      <c r="P37" s="148"/>
      <c r="Q37" s="162">
        <f>J37*L37</f>
        <v>129.6</v>
      </c>
      <c r="R37" s="162">
        <f>J37*M37</f>
        <v>64.8</v>
      </c>
      <c r="S37" s="162">
        <f>J37*N37</f>
        <v>0</v>
      </c>
      <c r="T37" s="162">
        <f>J37*O37</f>
        <v>165.6</v>
      </c>
    </row>
    <row r="38" spans="1:20">
      <c r="A38" s="160" t="s">
        <v>341</v>
      </c>
      <c r="B38" s="116"/>
      <c r="C38" s="116"/>
      <c r="D38" s="116"/>
      <c r="E38" s="116"/>
      <c r="F38" s="116"/>
      <c r="G38" s="111"/>
      <c r="H38" s="107"/>
      <c r="I38" s="151" t="s">
        <v>374</v>
      </c>
      <c r="J38" s="106">
        <v>48</v>
      </c>
      <c r="K38" s="153"/>
      <c r="L38" s="11">
        <v>1.8</v>
      </c>
      <c r="M38" s="11">
        <v>1.8</v>
      </c>
      <c r="N38" s="11">
        <v>0</v>
      </c>
      <c r="O38" s="11">
        <v>2.7</v>
      </c>
      <c r="P38" s="148"/>
      <c r="Q38" s="162">
        <f>J38*L38</f>
        <v>86.4</v>
      </c>
      <c r="R38" s="162">
        <f>J38*M38</f>
        <v>86.4</v>
      </c>
      <c r="S38" s="162">
        <f>J38*N38</f>
        <v>0</v>
      </c>
      <c r="T38" s="162">
        <f>J38*O38</f>
        <v>129.60000000000002</v>
      </c>
    </row>
    <row r="39" spans="1:20">
      <c r="A39" s="107"/>
      <c r="B39" s="107"/>
      <c r="C39" s="107"/>
      <c r="D39" s="107"/>
      <c r="E39" s="107"/>
      <c r="F39" s="107"/>
      <c r="G39" s="107"/>
      <c r="H39" s="107"/>
      <c r="I39" s="151" t="s">
        <v>375</v>
      </c>
      <c r="J39" s="106">
        <v>156</v>
      </c>
      <c r="K39" s="153"/>
      <c r="L39" s="11">
        <v>3.2</v>
      </c>
      <c r="M39" s="11">
        <v>1.8</v>
      </c>
      <c r="N39" s="11">
        <v>0</v>
      </c>
      <c r="O39" s="11">
        <v>4.0999999999999996</v>
      </c>
      <c r="P39" s="148"/>
      <c r="Q39" s="162">
        <f>J39*L39</f>
        <v>499.20000000000005</v>
      </c>
      <c r="R39" s="162">
        <f>J39*M39</f>
        <v>280.8</v>
      </c>
      <c r="S39" s="162">
        <f>J39*N39</f>
        <v>0</v>
      </c>
      <c r="T39" s="162">
        <f>J39*O39</f>
        <v>639.59999999999991</v>
      </c>
    </row>
    <row r="40" spans="1:20" ht="19.5">
      <c r="A40" s="172" t="s">
        <v>376</v>
      </c>
      <c r="B40" s="108"/>
      <c r="C40" s="109"/>
      <c r="D40" s="109"/>
      <c r="E40" s="110"/>
      <c r="F40" s="110"/>
      <c r="G40" s="107"/>
      <c r="H40" s="107"/>
      <c r="I40" s="149" t="s">
        <v>5</v>
      </c>
      <c r="J40" s="149" t="s">
        <v>5</v>
      </c>
      <c r="K40" s="155" t="s">
        <v>5</v>
      </c>
      <c r="L40" s="149" t="s">
        <v>5</v>
      </c>
      <c r="M40" s="149" t="s">
        <v>5</v>
      </c>
      <c r="N40" s="149" t="s">
        <v>5</v>
      </c>
      <c r="O40" s="149" t="s">
        <v>5</v>
      </c>
      <c r="P40" s="149" t="s">
        <v>5</v>
      </c>
      <c r="Q40" s="149" t="s">
        <v>5</v>
      </c>
      <c r="R40" s="149" t="s">
        <v>5</v>
      </c>
      <c r="S40" s="149" t="s">
        <v>5</v>
      </c>
      <c r="T40" s="149" t="s">
        <v>5</v>
      </c>
    </row>
    <row r="41" spans="1:20">
      <c r="A41" s="123" t="s">
        <v>5</v>
      </c>
      <c r="B41" s="124" t="s">
        <v>5</v>
      </c>
      <c r="C41" s="125" t="s">
        <v>5</v>
      </c>
      <c r="D41" s="125" t="s">
        <v>5</v>
      </c>
      <c r="E41" s="126" t="s">
        <v>5</v>
      </c>
      <c r="F41" s="126" t="s">
        <v>5</v>
      </c>
      <c r="G41" s="123" t="s">
        <v>5</v>
      </c>
      <c r="H41" s="107"/>
      <c r="I41" s="148" t="s">
        <v>370</v>
      </c>
      <c r="J41" s="148" t="s">
        <v>417</v>
      </c>
      <c r="K41" s="150">
        <f>SUM(J35:J39)</f>
        <v>372</v>
      </c>
      <c r="L41" s="148"/>
      <c r="M41" s="148"/>
      <c r="N41" s="148"/>
      <c r="O41" s="148"/>
      <c r="P41" s="148"/>
      <c r="Q41" s="148"/>
      <c r="R41" s="148"/>
      <c r="S41" s="148"/>
      <c r="T41" s="148"/>
    </row>
    <row r="42" spans="1:20">
      <c r="A42" s="127"/>
      <c r="B42" s="127" t="s">
        <v>377</v>
      </c>
      <c r="C42" s="128"/>
      <c r="D42" s="128"/>
      <c r="E42" s="128"/>
      <c r="F42" s="131" t="s">
        <v>384</v>
      </c>
      <c r="G42" s="128"/>
      <c r="H42" s="107"/>
      <c r="I42" s="148"/>
      <c r="J42" s="148"/>
      <c r="K42" s="150"/>
      <c r="L42" s="148"/>
      <c r="M42" s="148"/>
      <c r="N42" s="148"/>
      <c r="O42" s="148" t="s">
        <v>378</v>
      </c>
      <c r="P42" s="148"/>
      <c r="Q42" s="164">
        <f>SUM(Q14:Q39)</f>
        <v>2838.2</v>
      </c>
      <c r="R42" s="164">
        <f t="shared" ref="R42:T42" si="0">SUM(R14:R39)</f>
        <v>1362.6</v>
      </c>
      <c r="S42" s="164">
        <f t="shared" si="0"/>
        <v>372</v>
      </c>
      <c r="T42" s="164">
        <f t="shared" si="0"/>
        <v>3117.5999999999995</v>
      </c>
    </row>
    <row r="43" spans="1:20">
      <c r="A43" s="127" t="s">
        <v>379</v>
      </c>
      <c r="B43" s="129" t="s">
        <v>380</v>
      </c>
      <c r="C43" s="130" t="s">
        <v>381</v>
      </c>
      <c r="D43" s="130" t="s">
        <v>382</v>
      </c>
      <c r="E43" s="131" t="s">
        <v>383</v>
      </c>
      <c r="F43" s="131" t="s">
        <v>390</v>
      </c>
      <c r="G43" s="127" t="s">
        <v>385</v>
      </c>
      <c r="H43" s="107"/>
      <c r="I43" s="107"/>
      <c r="J43" s="107"/>
      <c r="K43" s="107"/>
      <c r="L43" s="107"/>
      <c r="M43" s="107"/>
      <c r="N43" s="107"/>
      <c r="O43" s="107"/>
      <c r="P43" s="107"/>
      <c r="Q43" s="107"/>
      <c r="R43" s="107"/>
      <c r="S43" s="107"/>
      <c r="T43" s="107"/>
    </row>
    <row r="44" spans="1:20">
      <c r="A44" s="127" t="s">
        <v>386</v>
      </c>
      <c r="B44" s="129" t="s">
        <v>387</v>
      </c>
      <c r="C44" s="132" t="s">
        <v>388</v>
      </c>
      <c r="D44" s="130" t="s">
        <v>389</v>
      </c>
      <c r="E44" s="131" t="s">
        <v>384</v>
      </c>
      <c r="F44" s="131" t="s">
        <v>421</v>
      </c>
      <c r="G44" s="127" t="s">
        <v>391</v>
      </c>
      <c r="H44" s="107"/>
      <c r="I44" s="107"/>
      <c r="J44" s="107"/>
      <c r="K44" s="107"/>
      <c r="L44" s="107"/>
      <c r="M44" s="107"/>
      <c r="N44" s="107"/>
      <c r="O44" s="107"/>
      <c r="P44" s="107"/>
      <c r="Q44" s="107"/>
      <c r="R44" s="107"/>
      <c r="S44" s="107"/>
      <c r="T44" s="107"/>
    </row>
    <row r="45" spans="1:20">
      <c r="A45" s="127"/>
      <c r="B45" s="129"/>
      <c r="C45" s="127"/>
      <c r="D45" s="128"/>
      <c r="E45" s="131"/>
      <c r="F45" s="131" t="s">
        <v>420</v>
      </c>
      <c r="G45" s="127"/>
      <c r="H45" s="107"/>
      <c r="I45" s="174"/>
      <c r="J45" s="174"/>
      <c r="K45" s="174"/>
      <c r="L45" s="174"/>
      <c r="M45" s="174"/>
      <c r="N45" s="174"/>
      <c r="O45" s="174"/>
      <c r="P45" s="174"/>
      <c r="Q45" s="174"/>
      <c r="R45" s="174"/>
      <c r="S45" s="174"/>
      <c r="T45" s="107"/>
    </row>
    <row r="46" spans="1:20">
      <c r="A46" s="127" t="s">
        <v>419</v>
      </c>
      <c r="B46" s="129" t="s">
        <v>419</v>
      </c>
      <c r="C46" s="130"/>
      <c r="D46" s="130" t="s">
        <v>419</v>
      </c>
      <c r="E46" s="131" t="s">
        <v>392</v>
      </c>
      <c r="F46" s="131" t="s">
        <v>393</v>
      </c>
      <c r="G46" s="127" t="s">
        <v>72</v>
      </c>
      <c r="H46" s="107"/>
      <c r="I46" s="175"/>
      <c r="J46" s="175"/>
      <c r="K46" s="176"/>
      <c r="L46" s="176"/>
      <c r="M46" s="177"/>
      <c r="N46" s="177"/>
      <c r="O46" s="175"/>
      <c r="P46" s="174"/>
      <c r="Q46" s="174"/>
      <c r="R46" s="174"/>
      <c r="S46" s="174"/>
      <c r="T46" s="107"/>
    </row>
    <row r="47" spans="1:20">
      <c r="A47" s="123" t="s">
        <v>5</v>
      </c>
      <c r="B47" s="124" t="s">
        <v>5</v>
      </c>
      <c r="C47" s="125" t="s">
        <v>5</v>
      </c>
      <c r="D47" s="125" t="s">
        <v>5</v>
      </c>
      <c r="E47" s="126" t="s">
        <v>5</v>
      </c>
      <c r="F47" s="126" t="s">
        <v>5</v>
      </c>
      <c r="G47" s="123" t="s">
        <v>5</v>
      </c>
      <c r="H47" s="107"/>
      <c r="I47" s="175"/>
      <c r="J47" s="178"/>
      <c r="K47" s="179"/>
      <c r="L47" s="176"/>
      <c r="M47" s="177"/>
      <c r="N47" s="177"/>
      <c r="O47" s="175"/>
      <c r="P47" s="174"/>
      <c r="Q47" s="174"/>
      <c r="R47" s="174"/>
      <c r="S47" s="174"/>
      <c r="T47" s="107"/>
    </row>
    <row r="48" spans="1:20">
      <c r="A48" s="133">
        <v>1.5</v>
      </c>
      <c r="B48" s="134">
        <f>IF(($E$19)/($E$32*$A48*$E$28*(1-($E$30/100)))&lt;2*$E$15," nem javasolt",($E$19)/($E$32*$A48*$E$28*(1-($E$30/100))))</f>
        <v>25.990400458485574</v>
      </c>
      <c r="C48" s="135">
        <f>IF(B48=" nem javasolt"," nem javasolt",ROUND(((+$E$32)*($E$34/($E$36-$A48*3))+0.4),0))</f>
        <v>3</v>
      </c>
      <c r="D48" s="136">
        <f>IF(B48=" nem javasolt"," nem javasolt",((($E$19*$E$34/(1-($E$22+$E$25+$G$32)/100))/($E$28*(1-($E$30/100)))/($C48*($B48*$A48))+3*$A48)))</f>
        <v>47.52480111258248</v>
      </c>
      <c r="E48" s="137">
        <f>IF(B48=" nem javasolt"," nem javasolt",($E$19/(1-($E$22+$E$25+$G$32)/100)*($E$34/1000)*(1+0.0225*($B48/$I$53-1))))</f>
        <v>1208.6356750334269</v>
      </c>
      <c r="F48" s="137">
        <f>IF(B48=" nem javasolt"," nem javasolt",+$E48*($E$22+$E$25+$G$32+2.25*($B48/$I$53-1))/100)</f>
        <v>236.49772690450985</v>
      </c>
      <c r="G48" s="137">
        <f>IF(B48=" nem javasolt"," nem javasolt",($F48/$E48)*100)</f>
        <v>19.567329658539915</v>
      </c>
      <c r="H48" s="107"/>
      <c r="I48" s="175"/>
      <c r="J48" s="178"/>
      <c r="K48" s="176"/>
      <c r="L48" s="176"/>
      <c r="M48" s="177"/>
      <c r="N48" s="177"/>
      <c r="O48" s="175"/>
      <c r="P48" s="174"/>
      <c r="Q48" s="174"/>
      <c r="R48" s="174"/>
      <c r="S48" s="174"/>
      <c r="T48" s="107"/>
    </row>
    <row r="49" spans="1:19">
      <c r="A49" s="138">
        <v>2</v>
      </c>
      <c r="B49" s="139">
        <f t="shared" ref="B49:B61" si="1">IF(($E$19)/($E$32*$A49*$E$28*(1-($E$30/100)))&lt;2*$E$15," nem javasolt",($E$19)/($E$32*$A49*$E$28*(1-($E$30/100))))</f>
        <v>19.492800343864179</v>
      </c>
      <c r="C49" s="140">
        <f t="shared" ref="C49:C61" si="2">IF(B49=" nem javasolt"," nem javasolt",ROUND(((+$E$32)*($E$34/($E$36-$A49*3))+0.4),0))</f>
        <v>3</v>
      </c>
      <c r="D49" s="141">
        <f t="shared" ref="D49:D61" si="3">IF(B49=" nem javasolt"," nem javasolt",((($E$19*$E$34/(1-($E$22+$E$25+$G$32)/100))/($E$28*(1-($E$30/100)))/($C49*($B49*$A49))+3*$A49)))</f>
        <v>49.024801112582487</v>
      </c>
      <c r="E49" s="142">
        <f t="shared" ref="E49:E61" si="4">IF(B49=" nem javasolt"," nem javasolt",($E$19/(1-($E$22+$E$25+$G$32)/100)*($E$34/1000)*(1+0.0225*($B49/$I$53-1))))</f>
        <v>1192.5677511281249</v>
      </c>
      <c r="F49" s="142">
        <f t="shared" ref="F49:F61" si="5">IF(B49=" nem javasolt"," nem javasolt",+$E49*($E$22+$E$25+$G$32+2.25*($B49/$I$53-1))/100)</f>
        <v>216.98567088044251</v>
      </c>
      <c r="G49" s="142">
        <f t="shared" ref="G49:G61" si="6">IF(B49=" nem javasolt"," nem javasolt",($F49/$E49)*100)</f>
        <v>18.194829658539913</v>
      </c>
      <c r="H49" s="107"/>
      <c r="I49" s="175"/>
      <c r="J49" s="178"/>
      <c r="K49" s="175"/>
      <c r="L49" s="176"/>
      <c r="M49" s="177"/>
      <c r="N49" s="177"/>
      <c r="O49" s="175"/>
      <c r="P49" s="35"/>
      <c r="Q49" s="35"/>
      <c r="R49" s="35"/>
      <c r="S49" s="35"/>
    </row>
    <row r="50" spans="1:19">
      <c r="A50" s="138">
        <v>2.5</v>
      </c>
      <c r="B50" s="139">
        <f t="shared" si="1"/>
        <v>15.594240275091341</v>
      </c>
      <c r="C50" s="140">
        <f t="shared" si="2"/>
        <v>3</v>
      </c>
      <c r="D50" s="141">
        <f t="shared" si="3"/>
        <v>50.524801112582495</v>
      </c>
      <c r="E50" s="142">
        <f t="shared" si="4"/>
        <v>1182.9269967849436</v>
      </c>
      <c r="F50" s="142">
        <f t="shared" si="5"/>
        <v>205.49014823137841</v>
      </c>
      <c r="G50" s="142">
        <f t="shared" si="6"/>
        <v>17.371329658539914</v>
      </c>
      <c r="H50" s="107"/>
      <c r="I50" s="175"/>
      <c r="J50" s="178"/>
      <c r="K50" s="176"/>
      <c r="L50" s="176"/>
      <c r="M50" s="177"/>
      <c r="N50" s="177"/>
      <c r="O50" s="175"/>
      <c r="P50" s="35"/>
      <c r="Q50" s="35"/>
      <c r="R50" s="35"/>
      <c r="S50" s="35"/>
    </row>
    <row r="51" spans="1:19">
      <c r="A51" s="143">
        <v>3</v>
      </c>
      <c r="B51" s="139">
        <f t="shared" si="1"/>
        <v>12.995200229242787</v>
      </c>
      <c r="C51" s="140">
        <f t="shared" si="2"/>
        <v>3</v>
      </c>
      <c r="D51" s="141">
        <f t="shared" si="3"/>
        <v>52.02480111258248</v>
      </c>
      <c r="E51" s="142">
        <f t="shared" si="4"/>
        <v>1176.4998272228229</v>
      </c>
      <c r="F51" s="142">
        <f t="shared" si="5"/>
        <v>197.91467936757579</v>
      </c>
      <c r="G51" s="142">
        <f t="shared" si="6"/>
        <v>16.822329658539914</v>
      </c>
      <c r="H51" s="107"/>
      <c r="I51" s="174"/>
      <c r="J51" s="35"/>
      <c r="K51" s="35"/>
      <c r="L51" s="35"/>
      <c r="M51" s="35"/>
      <c r="N51" s="35"/>
      <c r="O51" s="35"/>
      <c r="P51" s="35"/>
      <c r="Q51" s="35"/>
      <c r="R51" s="35"/>
      <c r="S51" s="35"/>
    </row>
    <row r="52" spans="1:19">
      <c r="A52" s="138">
        <v>3.5</v>
      </c>
      <c r="B52" s="139">
        <f t="shared" si="1"/>
        <v>11.138743053636672</v>
      </c>
      <c r="C52" s="140">
        <f t="shared" si="2"/>
        <v>3</v>
      </c>
      <c r="D52" s="141">
        <f t="shared" si="3"/>
        <v>53.524801112582495</v>
      </c>
      <c r="E52" s="142">
        <f t="shared" si="4"/>
        <v>1171.9089918213078</v>
      </c>
      <c r="F52" s="142">
        <f t="shared" si="5"/>
        <v>192.54683649860982</v>
      </c>
      <c r="G52" s="142">
        <f t="shared" si="6"/>
        <v>16.430186801397056</v>
      </c>
      <c r="H52" s="107"/>
      <c r="I52" s="174"/>
      <c r="J52" s="35"/>
      <c r="K52" s="35"/>
      <c r="L52" s="35"/>
      <c r="M52" s="35"/>
      <c r="N52" s="35"/>
      <c r="O52" s="35"/>
      <c r="P52" s="35"/>
      <c r="Q52" s="35"/>
      <c r="R52" s="35"/>
      <c r="S52" s="35"/>
    </row>
    <row r="53" spans="1:19">
      <c r="A53" s="144">
        <v>3.66</v>
      </c>
      <c r="B53" s="145">
        <f t="shared" si="1"/>
        <v>10.651803466592446</v>
      </c>
      <c r="C53" s="146">
        <f t="shared" si="2"/>
        <v>3</v>
      </c>
      <c r="D53" s="145">
        <f t="shared" si="3"/>
        <v>54.004801112582498</v>
      </c>
      <c r="E53" s="147">
        <f t="shared" si="4"/>
        <v>1170.7048382733697</v>
      </c>
      <c r="F53" s="147">
        <f t="shared" si="5"/>
        <v>191.1448382733696</v>
      </c>
      <c r="G53" s="147">
        <f t="shared" si="6"/>
        <v>16.327329658539913</v>
      </c>
      <c r="H53" s="122" t="s">
        <v>73</v>
      </c>
      <c r="I53" s="197">
        <f>($E$19)/($E$32*A53*$E$28*(1-($E$30/100)))</f>
        <v>10.651803466592446</v>
      </c>
    </row>
    <row r="54" spans="1:19">
      <c r="A54" s="138">
        <v>4</v>
      </c>
      <c r="B54" s="139">
        <f t="shared" si="1"/>
        <v>9.7464001719320894</v>
      </c>
      <c r="C54" s="140">
        <f t="shared" si="2"/>
        <v>4</v>
      </c>
      <c r="D54" s="141">
        <f t="shared" si="3"/>
        <v>44.268600834436867</v>
      </c>
      <c r="E54" s="142">
        <f t="shared" si="4"/>
        <v>1168.4658652701719</v>
      </c>
      <c r="F54" s="142">
        <f t="shared" si="5"/>
        <v>188.5445828028426</v>
      </c>
      <c r="G54" s="142">
        <f t="shared" si="6"/>
        <v>16.136079658539913</v>
      </c>
      <c r="H54" s="109"/>
      <c r="I54" s="107"/>
    </row>
    <row r="55" spans="1:19">
      <c r="A55" s="138">
        <v>4.5</v>
      </c>
      <c r="B55" s="139">
        <f t="shared" si="1"/>
        <v>8.6634668194951896</v>
      </c>
      <c r="C55" s="140">
        <f t="shared" si="2"/>
        <v>4</v>
      </c>
      <c r="D55" s="141">
        <f t="shared" si="3"/>
        <v>45.768600834436867</v>
      </c>
      <c r="E55" s="142">
        <f t="shared" si="4"/>
        <v>1165.7878779526216</v>
      </c>
      <c r="F55" s="142">
        <f t="shared" si="5"/>
        <v>185.44572086522047</v>
      </c>
      <c r="G55" s="142">
        <f t="shared" si="6"/>
        <v>15.907329658539915</v>
      </c>
      <c r="H55" s="109"/>
      <c r="I55" s="107"/>
      <c r="L55" s="169"/>
    </row>
    <row r="56" spans="1:19">
      <c r="A56" s="138">
        <v>5</v>
      </c>
      <c r="B56" s="139">
        <f t="shared" si="1"/>
        <v>7.7971201375456705</v>
      </c>
      <c r="C56" s="140">
        <f t="shared" si="2"/>
        <v>4</v>
      </c>
      <c r="D56" s="141">
        <f t="shared" si="3"/>
        <v>47.268600834436867</v>
      </c>
      <c r="E56" s="142">
        <f t="shared" si="4"/>
        <v>1163.6454880985812</v>
      </c>
      <c r="F56" s="142">
        <f t="shared" si="5"/>
        <v>182.97545260534673</v>
      </c>
      <c r="G56" s="142">
        <f t="shared" si="6"/>
        <v>15.724329658539911</v>
      </c>
      <c r="H56" s="109"/>
      <c r="I56" s="107"/>
    </row>
    <row r="57" spans="1:19">
      <c r="A57" s="138">
        <v>5.5</v>
      </c>
      <c r="B57" s="139">
        <f t="shared" si="1"/>
        <v>7.0882910341324274</v>
      </c>
      <c r="C57" s="140">
        <f t="shared" si="2"/>
        <v>4</v>
      </c>
      <c r="D57" s="141">
        <f t="shared" si="3"/>
        <v>48.768600834436867</v>
      </c>
      <c r="E57" s="142">
        <f t="shared" si="4"/>
        <v>1161.8926236725483</v>
      </c>
      <c r="F57" s="142">
        <f t="shared" si="5"/>
        <v>180.96015628708582</v>
      </c>
      <c r="G57" s="142">
        <f t="shared" si="6"/>
        <v>15.574602385812641</v>
      </c>
      <c r="H57" s="109"/>
      <c r="I57" s="107"/>
    </row>
    <row r="58" spans="1:19">
      <c r="A58" s="138">
        <v>6</v>
      </c>
      <c r="B58" s="139">
        <f t="shared" si="1"/>
        <v>6.4976001146213935</v>
      </c>
      <c r="C58" s="140">
        <f t="shared" si="2"/>
        <v>4</v>
      </c>
      <c r="D58" s="141">
        <f t="shared" si="3"/>
        <v>50.26860083443686</v>
      </c>
      <c r="E58" s="142">
        <f t="shared" si="4"/>
        <v>1160.4319033175209</v>
      </c>
      <c r="F58" s="142">
        <f t="shared" si="5"/>
        <v>179.28475236590955</v>
      </c>
      <c r="G58" s="142">
        <f t="shared" si="6"/>
        <v>15.449829658539912</v>
      </c>
      <c r="H58" s="109"/>
      <c r="I58" s="107"/>
    </row>
    <row r="59" spans="1:19">
      <c r="A59" s="138">
        <v>6.5</v>
      </c>
      <c r="B59" s="139">
        <f t="shared" si="1"/>
        <v>5.9977847211889772</v>
      </c>
      <c r="C59" s="140">
        <f t="shared" si="2"/>
        <v>4</v>
      </c>
      <c r="D59" s="141">
        <f t="shared" si="3"/>
        <v>51.768600834436867</v>
      </c>
      <c r="E59" s="142">
        <f t="shared" si="4"/>
        <v>1159.1959091709591</v>
      </c>
      <c r="F59" s="142">
        <f t="shared" si="5"/>
        <v>177.86995000233998</v>
      </c>
      <c r="G59" s="142">
        <f t="shared" si="6"/>
        <v>15.344252735462991</v>
      </c>
      <c r="H59" s="107"/>
      <c r="I59" s="107"/>
    </row>
    <row r="60" spans="1:19">
      <c r="A60" s="138">
        <v>7</v>
      </c>
      <c r="B60" s="139">
        <f t="shared" si="1"/>
        <v>5.5693715268183359</v>
      </c>
      <c r="C60" s="140">
        <f t="shared" si="2"/>
        <v>5</v>
      </c>
      <c r="D60" s="141">
        <f t="shared" si="3"/>
        <v>46.814880667549495</v>
      </c>
      <c r="E60" s="142">
        <f t="shared" si="4"/>
        <v>1158.1364856167634</v>
      </c>
      <c r="F60" s="142">
        <f t="shared" si="5"/>
        <v>176.65933948903483</v>
      </c>
      <c r="G60" s="142">
        <f t="shared" si="6"/>
        <v>15.253758229968486</v>
      </c>
      <c r="H60" s="107"/>
      <c r="I60" s="107"/>
    </row>
    <row r="61" spans="1:19">
      <c r="A61" s="138">
        <v>7.5</v>
      </c>
      <c r="B61" s="139" t="str">
        <f t="shared" si="1"/>
        <v xml:space="preserve"> nem javasolt</v>
      </c>
      <c r="C61" s="140" t="str">
        <f t="shared" si="2"/>
        <v xml:space="preserve"> nem javasolt</v>
      </c>
      <c r="D61" s="141" t="str">
        <f t="shared" si="3"/>
        <v xml:space="preserve"> nem javasolt</v>
      </c>
      <c r="E61" s="142" t="str">
        <f t="shared" si="4"/>
        <v xml:space="preserve"> nem javasolt</v>
      </c>
      <c r="F61" s="142" t="str">
        <f t="shared" si="5"/>
        <v xml:space="preserve"> nem javasolt</v>
      </c>
      <c r="G61" s="142" t="str">
        <f t="shared" si="6"/>
        <v xml:space="preserve"> nem javasolt</v>
      </c>
      <c r="H61" s="107"/>
      <c r="I61" s="107"/>
    </row>
    <row r="62" spans="1:19">
      <c r="A62" s="123" t="s">
        <v>5</v>
      </c>
      <c r="B62" s="124" t="s">
        <v>5</v>
      </c>
      <c r="C62" s="125" t="s">
        <v>5</v>
      </c>
      <c r="D62" s="125" t="s">
        <v>5</v>
      </c>
      <c r="E62" s="126" t="s">
        <v>5</v>
      </c>
      <c r="F62" s="126" t="s">
        <v>5</v>
      </c>
      <c r="G62" s="123" t="s">
        <v>5</v>
      </c>
      <c r="H62" s="107"/>
      <c r="I62" s="107"/>
    </row>
    <row r="63" spans="1:19">
      <c r="A63" s="5" t="s">
        <v>411</v>
      </c>
      <c r="B63" s="108"/>
      <c r="C63" s="109"/>
      <c r="D63" s="109"/>
      <c r="E63" s="110"/>
      <c r="F63" s="110"/>
      <c r="G63" s="107"/>
      <c r="H63" s="107"/>
      <c r="I63" s="107"/>
    </row>
    <row r="64" spans="1:19">
      <c r="A64" s="5" t="s">
        <v>412</v>
      </c>
      <c r="H64" s="107"/>
      <c r="I64" s="107"/>
    </row>
    <row r="65" spans="1:7">
      <c r="A65" s="112"/>
      <c r="B65" s="108"/>
      <c r="C65" s="109"/>
      <c r="D65" s="109"/>
      <c r="E65" s="110"/>
      <c r="F65" s="110"/>
      <c r="G65" s="107"/>
    </row>
  </sheetData>
  <sheetProtection sheet="1" objects="1" scenarios="1"/>
  <dataValidations count="1">
    <dataValidation type="list" showInputMessage="1" showErrorMessage="1" sqref="E17" xr:uid="{00000000-0002-0000-0700-000000000000}">
      <formula1>"Szenazs 1, Szenazs 2, Szenazs 3, Kukorica szilazs, Az én szilázsom"</formula1>
    </dataValidation>
  </dataValidations>
  <hyperlinks>
    <hyperlink ref="A8" r:id="rId1" xr:uid="{00000000-0004-0000-07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English </vt:lpstr>
      <vt:lpstr>English-Metric</vt:lpstr>
      <vt:lpstr>French</vt:lpstr>
      <vt:lpstr>Portuguese</vt:lpstr>
      <vt:lpstr>Russian</vt:lpstr>
      <vt:lpstr>Español de Mexico</vt:lpstr>
      <vt:lpstr>Espanol Castellano</vt:lpstr>
      <vt:lpstr>Hungarian</vt:lpstr>
      <vt:lpstr>'English '!Print_Area</vt:lpstr>
      <vt:lpstr>Portuguese!Print_Area</vt:lpstr>
      <vt:lpstr>Print_Area_MI</vt:lpstr>
    </vt:vector>
  </TitlesOfParts>
  <Company>Biological Systems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J. Holmes</dc:creator>
  <cp:lastModifiedBy>Brian</cp:lastModifiedBy>
  <cp:lastPrinted>2015-03-11T19:37:35Z</cp:lastPrinted>
  <dcterms:created xsi:type="dcterms:W3CDTF">2009-08-15T12:00:54Z</dcterms:created>
  <dcterms:modified xsi:type="dcterms:W3CDTF">2019-09-23T01:20:40Z</dcterms:modified>
</cp:coreProperties>
</file>