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89770\Desktop\2020 REMOTE WORK\"/>
    </mc:Choice>
  </mc:AlternateContent>
  <xr:revisionPtr revIDLastSave="0" documentId="8_{4B592F36-877D-4586-8487-656486AD87B4}" xr6:coauthVersionLast="44" xr6:coauthVersionMax="44" xr10:uidLastSave="{00000000-0000-0000-0000-000000000000}"/>
  <bookViews>
    <workbookView xWindow="20" yWindow="0" windowWidth="19180" windowHeight="10200" tabRatio="649" xr2:uid="{00000000-000D-0000-FFFF-FFFF00000000}"/>
  </bookViews>
  <sheets>
    <sheet name="English Units" sheetId="1" r:id="rId1"/>
    <sheet name="English (Metric Units)" sheetId="3" r:id="rId2"/>
    <sheet name="Espanol" sheetId="5" r:id="rId3"/>
    <sheet name="Espanol - (unidades métricas)" sheetId="4" r:id="rId4"/>
    <sheet name="French" sheetId="7" r:id="rId5"/>
    <sheet name="Russian" sheetId="6" r:id="rId6"/>
    <sheet name="Welsh (Unedau Metrig-Cymraeg)" sheetId="9" r:id="rId7"/>
    <sheet name="Hungarian" sheetId="8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6" l="1"/>
  <c r="I21" i="6"/>
  <c r="I20" i="6"/>
  <c r="I19" i="6"/>
  <c r="G19" i="5"/>
  <c r="G20" i="5"/>
  <c r="G21" i="5"/>
  <c r="G22" i="5"/>
  <c r="F28" i="5"/>
  <c r="F24" i="5"/>
  <c r="F37" i="5"/>
  <c r="F36" i="5"/>
  <c r="F35" i="5"/>
  <c r="G19" i="1"/>
  <c r="G20" i="1"/>
  <c r="G21" i="1"/>
  <c r="G22" i="1"/>
  <c r="F28" i="1"/>
  <c r="F24" i="1"/>
  <c r="F37" i="1"/>
  <c r="F36" i="1"/>
  <c r="F35" i="1"/>
  <c r="G21" i="4"/>
  <c r="G22" i="4"/>
  <c r="G19" i="4"/>
  <c r="G20" i="4"/>
  <c r="F28" i="4"/>
  <c r="G19" i="3"/>
  <c r="G20" i="3"/>
  <c r="G21" i="3"/>
  <c r="G22" i="3"/>
  <c r="F28" i="3"/>
  <c r="F36" i="8"/>
  <c r="G19" i="8"/>
  <c r="G20" i="8"/>
  <c r="G21" i="8"/>
  <c r="G22" i="8"/>
  <c r="F28" i="8"/>
  <c r="F24" i="8"/>
  <c r="F37" i="8"/>
  <c r="F35" i="8"/>
  <c r="F29" i="8"/>
  <c r="F30" i="8"/>
  <c r="F32" i="8"/>
  <c r="G19" i="7"/>
  <c r="G20" i="7"/>
  <c r="G21" i="7"/>
  <c r="G22" i="7"/>
  <c r="F27" i="7"/>
  <c r="G19" i="6"/>
  <c r="G20" i="6"/>
  <c r="G21" i="6"/>
  <c r="G22" i="6"/>
  <c r="F28" i="6"/>
  <c r="G19" i="9"/>
  <c r="G20" i="9"/>
  <c r="G21" i="9"/>
  <c r="G22" i="9"/>
  <c r="F26" i="9"/>
  <c r="I22" i="8"/>
  <c r="I21" i="8"/>
  <c r="I20" i="8"/>
  <c r="I19" i="8"/>
  <c r="J39" i="8"/>
  <c r="F34" i="9"/>
  <c r="F28" i="9"/>
  <c r="F24" i="9"/>
  <c r="F23" i="9"/>
  <c r="I22" i="9"/>
  <c r="I21" i="9"/>
  <c r="I20" i="9"/>
  <c r="I19" i="9"/>
  <c r="F16" i="9"/>
  <c r="F14" i="9"/>
  <c r="S14" i="9"/>
  <c r="Q13" i="9"/>
  <c r="F35" i="9"/>
  <c r="F33" i="9"/>
  <c r="F27" i="9"/>
  <c r="F30" i="9"/>
  <c r="A35" i="9"/>
  <c r="F23" i="8"/>
  <c r="F16" i="8"/>
  <c r="O14" i="8"/>
  <c r="F14" i="8"/>
  <c r="M12" i="8"/>
  <c r="L10" i="4"/>
  <c r="J10" i="4"/>
  <c r="J10" i="7"/>
  <c r="I22" i="7"/>
  <c r="I21" i="7"/>
  <c r="I20" i="7"/>
  <c r="I19" i="7"/>
  <c r="I22" i="4"/>
  <c r="I21" i="4"/>
  <c r="I20" i="4"/>
  <c r="I19" i="4"/>
  <c r="I22" i="5"/>
  <c r="I21" i="5"/>
  <c r="I20" i="5"/>
  <c r="I19" i="5"/>
  <c r="F25" i="7"/>
  <c r="F37" i="7"/>
  <c r="F29" i="7"/>
  <c r="F24" i="7"/>
  <c r="F24" i="6"/>
  <c r="F36" i="6"/>
  <c r="F30" i="6"/>
  <c r="F23" i="6"/>
  <c r="F16" i="6"/>
  <c r="K14" i="6"/>
  <c r="F14" i="6"/>
  <c r="J12" i="6"/>
  <c r="F30" i="5"/>
  <c r="F23" i="5"/>
  <c r="F16" i="5"/>
  <c r="J14" i="5"/>
  <c r="F14" i="5"/>
  <c r="I12" i="5"/>
  <c r="F30" i="1"/>
  <c r="F23" i="1"/>
  <c r="I12" i="1"/>
  <c r="J14" i="1"/>
  <c r="F16" i="1"/>
  <c r="F14" i="1"/>
  <c r="I22" i="1"/>
  <c r="I21" i="1"/>
  <c r="I20" i="1"/>
  <c r="I19" i="1"/>
  <c r="F30" i="4"/>
  <c r="F25" i="4"/>
  <c r="F36" i="4"/>
  <c r="G15" i="4"/>
  <c r="G13" i="4"/>
  <c r="F24" i="4"/>
  <c r="F30" i="3"/>
  <c r="F24" i="3"/>
  <c r="F36" i="3"/>
  <c r="K14" i="3"/>
  <c r="J12" i="3"/>
  <c r="I21" i="3"/>
  <c r="I20" i="3"/>
  <c r="F23" i="3"/>
  <c r="F16" i="3"/>
  <c r="F14" i="3"/>
  <c r="I22" i="3"/>
  <c r="I19" i="3"/>
  <c r="F37" i="4"/>
  <c r="F35" i="4"/>
  <c r="F29" i="4"/>
  <c r="F32" i="4"/>
  <c r="A43" i="5"/>
  <c r="F29" i="5"/>
  <c r="F32" i="5"/>
  <c r="F37" i="3"/>
  <c r="F35" i="3"/>
  <c r="F37" i="6"/>
  <c r="F35" i="6"/>
  <c r="A37" i="6"/>
  <c r="F38" i="7"/>
  <c r="F36" i="7"/>
  <c r="F28" i="7"/>
  <c r="F31" i="7"/>
  <c r="F29" i="3"/>
  <c r="F32" i="3"/>
  <c r="A37" i="3"/>
  <c r="F29" i="6"/>
  <c r="F32" i="6"/>
  <c r="A43" i="1"/>
  <c r="F29" i="1"/>
  <c r="F32" i="1"/>
</calcChain>
</file>

<file path=xl/sharedStrings.xml><?xml version="1.0" encoding="utf-8"?>
<sst xmlns="http://schemas.openxmlformats.org/spreadsheetml/2006/main" count="335" uniqueCount="273">
  <si>
    <t>University of Wisconsin-Madison</t>
  </si>
  <si>
    <t>Silage Packing Layer Thickness (inches) =</t>
  </si>
  <si>
    <t>Tractor # 1</t>
  </si>
  <si>
    <t>Tractor # 2</t>
  </si>
  <si>
    <t>Tractor # 3</t>
  </si>
  <si>
    <t>Tractor # 4</t>
  </si>
  <si>
    <t>Packing Factor =</t>
  </si>
  <si>
    <t>Bunker Silo Maximum Silage Height (feet) =</t>
  </si>
  <si>
    <t>Average Silage Height (feet) =</t>
  </si>
  <si>
    <t>Values in yellow cells are user changeable</t>
  </si>
  <si>
    <t>Values in pink cells are results of calculations</t>
  </si>
  <si>
    <t>Tractor Weight (lbs)</t>
  </si>
  <si>
    <t>Packing Tractor  - Each Tractor</t>
  </si>
  <si>
    <t>Brian Holmes(1) and Richard Muck(2)</t>
  </si>
  <si>
    <t>Tractor Packing Time (% of Filling Time)</t>
  </si>
  <si>
    <t>Green cells are intermediate calculated values</t>
  </si>
  <si>
    <t>Est. Average Dry Matter Density (lbs DM/cu ft) =</t>
  </si>
  <si>
    <t>Bunker Silo Maximum Silage Height (meters) =</t>
  </si>
  <si>
    <t>Tractor Weight (Kg)</t>
  </si>
  <si>
    <t>Average Silage Height (meters) =</t>
  </si>
  <si>
    <t>Est. Average Dry Matter Density (Kg DM/cu m) =</t>
  </si>
  <si>
    <t>Silage Packing Layer Thickness (cm) =</t>
  </si>
  <si>
    <t xml:space="preserve">     Spreadsheet to Calculate Average</t>
  </si>
  <si>
    <t xml:space="preserve">     Silage Density in a Bunker Silo(Metric Units)</t>
  </si>
  <si>
    <t xml:space="preserve">     Silage Density in a Bunker Silo(English Units)</t>
  </si>
  <si>
    <t>Silage Dry Matter Content (decimal ie 0.35) =</t>
  </si>
  <si>
    <t>Silage Delivery Rate to Bunker (T AF/Hr) =</t>
  </si>
  <si>
    <t>Silage Delivery Rate to Bunker (tonne AF/Hr) =</t>
  </si>
  <si>
    <t>Recommended range of DM content = 0.3-0.4</t>
  </si>
  <si>
    <t>Typical values 15-200 T AF/hr</t>
  </si>
  <si>
    <t>Typical values 15-200 t AF/hr</t>
  </si>
  <si>
    <t>(2) US Dairy Forage Research Center</t>
  </si>
  <si>
    <t>(1) Biological Systems Engineering Dept. and</t>
  </si>
  <si>
    <t>Proportioned Total Tractor Weight (Kg) =</t>
  </si>
  <si>
    <t>Proportioned Total Tractor Weight (lbs) =</t>
  </si>
  <si>
    <t>Maximum Achievable DM Density (lbs DM/cu ft)=</t>
  </si>
  <si>
    <t>Maximum Achievable DM Density (Kg DM/cu m)=</t>
  </si>
  <si>
    <t>Typical tractor weight is 10,000-60,000 lbs</t>
  </si>
  <si>
    <t>Recommended value is 15.24 cm or less</t>
  </si>
  <si>
    <t>Recommended value is 6 inches or less</t>
  </si>
  <si>
    <t>=====================================================================================</t>
  </si>
  <si>
    <t>=======================================================================================</t>
  </si>
  <si>
    <t>Typical tractor weight is 4,500-27,000 Kg</t>
  </si>
  <si>
    <t>Datos a Ingresar</t>
  </si>
  <si>
    <t>Silo</t>
  </si>
  <si>
    <t>Altura del Muro (metros) =</t>
  </si>
  <si>
    <t>Cero para silos en montículo</t>
  </si>
  <si>
    <t>Altura Máxima del Silo (metros) =</t>
  </si>
  <si>
    <t>Tasa de Llenado (toneladas de forraje por hora) =</t>
  </si>
  <si>
    <t>Rango típico 15 a 200</t>
  </si>
  <si>
    <t>Contenido de MS del Forraje, (en decimales) =</t>
  </si>
  <si>
    <t>Rango recomendado 0.30 a 0.40</t>
  </si>
  <si>
    <t>Espesor de la Capa de Forraje (cm) =</t>
  </si>
  <si>
    <t>Espesor recomendado 15 cm o menos</t>
  </si>
  <si>
    <t>Maquinaria</t>
  </si>
  <si>
    <t>Peso (kg)</t>
  </si>
  <si>
    <t>Tiempo sobre el forraje (%)</t>
  </si>
  <si>
    <t>Cálculos</t>
  </si>
  <si>
    <t>Peso total ponderado (kg) =</t>
  </si>
  <si>
    <t>Intermedios</t>
  </si>
  <si>
    <t>Altura Promedio del Silo (metros) =</t>
  </si>
  <si>
    <t>Resultados</t>
  </si>
  <si>
    <t>Factor  de Compactación =</t>
  </si>
  <si>
    <r>
      <t xml:space="preserve">Hoja de Cálculo para Estimar la Densidad Promedio en Silos Horizontales </t>
    </r>
    <r>
      <rPr>
        <i/>
        <sz val="10"/>
        <color indexed="12"/>
        <rFont val="Trebuchet MS"/>
        <family val="2"/>
      </rPr>
      <t>(unidades métricas)</t>
    </r>
  </si>
  <si>
    <r>
      <t>Brian Holmes,</t>
    </r>
    <r>
      <rPr>
        <sz val="12"/>
        <color indexed="57"/>
        <rFont val="Trebuchet MS"/>
        <family val="2"/>
      </rPr>
      <t xml:space="preserve"> Depto. de Ingeniería de Sistemas Biológicos y </t>
    </r>
  </si>
  <si>
    <t>Bunker Silo Wall Height (feet)   =</t>
  </si>
  <si>
    <t>Bunker Silo Wall Height (meters)  =</t>
  </si>
  <si>
    <r>
      <t>Richard Muck,</t>
    </r>
    <r>
      <rPr>
        <sz val="12"/>
        <color indexed="57"/>
        <rFont val="Trebuchet MS"/>
        <family val="2"/>
      </rPr>
      <t xml:space="preserve"> Centro de Investigacion en Forrajes para Ganado Lechero de los Estados Unidos </t>
    </r>
  </si>
  <si>
    <t>-----------------------------------------------------------------------------------------------------------------------------------------------------------</t>
  </si>
  <si>
    <t>Est. Average Wet Density = Bulk Density (lbs AF/cu ft) =</t>
  </si>
  <si>
    <t>Maximum Achievable Bulk Density (lbs AF/cu ft)=</t>
  </si>
  <si>
    <t>Density greater than 15 lbs DM/cu ft is recommended</t>
  </si>
  <si>
    <t>Wet Density greater than 44 lbs AF/cu ft is recommended</t>
  </si>
  <si>
    <t>DM Density greater than Max. Achievable is unrealistic</t>
  </si>
  <si>
    <t>Wet Density greater than Max. Wet Density is unrealistic</t>
  </si>
  <si>
    <t>Gas Filled Porosity =</t>
  </si>
  <si>
    <t>Gas Filled Porosity less than 0.40 is recommended</t>
  </si>
  <si>
    <t>Dry Matter Density greater than 240 Kg DM/cu m is recommended</t>
  </si>
  <si>
    <t>Est. Average Wet Density = Bulk Density (kg AF/cu m) =</t>
  </si>
  <si>
    <t>Maximum Achievable Bulk Density (kg AF/cu m)=</t>
  </si>
  <si>
    <t>Wet Density greater than 705 kg AF/cu m is recommended</t>
  </si>
  <si>
    <t>Densidad mayor a Densidad Maxima de MS Alcanzable es irreal</t>
  </si>
  <si>
    <t>Se recomienda una porosidad de llenado de gas menor a 0.40</t>
  </si>
  <si>
    <t>Se recomienda una densidad humeda mayor de 705 kg AF/ m cubico</t>
  </si>
  <si>
    <t>Una densidad humeda mayor que la maxima densidad humeda no es real</t>
  </si>
  <si>
    <r>
      <t>Densidad Estimada Promedio</t>
    </r>
    <r>
      <rPr>
        <b/>
        <sz val="12"/>
        <rFont val="Arial"/>
        <family val="2"/>
      </rPr>
      <t xml:space="preserve"> (Promedio Estimado de Densidad) de MS (kg MS por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</si>
  <si>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Densidad Maxima de MS Alcanzable</t>
    </r>
    <r>
      <rPr>
        <b/>
        <sz val="12"/>
        <rFont val="Arial"/>
        <family val="2"/>
      </rPr>
      <t xml:space="preserve"> (Máxima Densidad de MS Alcanzable) (kg MS por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</si>
  <si>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Peso típico rango de 4,500 - 27,000 kg</t>
  </si>
  <si>
    <r>
      <t xml:space="preserve">Universidad de Wisconsin - Madison </t>
    </r>
    <r>
      <rPr>
        <sz val="12"/>
        <color indexed="10"/>
        <rFont val="Trebuchet MS"/>
        <family val="2"/>
      </rPr>
      <t>(23 de Agosto del 2007)</t>
    </r>
  </si>
  <si>
    <r>
      <t>Densidad humeda promedio estimada= Densidad en volumen (kg AF/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</si>
  <si>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Maxima densidad en volumen alcanzable (kg AF/ metro cubico) =</t>
  </si>
  <si>
    <t xml:space="preserve">                                                                  Porosidad de llenado de gas =</t>
  </si>
  <si>
    <t xml:space="preserve">     Hoja de calculo para calcular la densidad promedio  </t>
  </si>
  <si>
    <t xml:space="preserve">     del ensilado en un silo bunker (unidades inglesas)</t>
  </si>
  <si>
    <t>Altura de la pared del silo bunker (pies)  =</t>
  </si>
  <si>
    <t>Altura máxima del ensilado del silo bunker (pies)=</t>
  </si>
  <si>
    <t>Los valores en celdas amarillas son cambiables por el usuario</t>
  </si>
  <si>
    <t>Tasa de llenado de ensilado en el bunker (T AF/Hr) =</t>
  </si>
  <si>
    <t>Valores típicos 15-200 T AF/hr</t>
  </si>
  <si>
    <t>Contenido de materia seca del ensilado (decimal ie 0.35) =</t>
  </si>
  <si>
    <t>Rango recomendado de MS = 0.3-0.4</t>
  </si>
  <si>
    <t>Espesor de la capa de compactación del ensilado (pulgadas) =</t>
  </si>
  <si>
    <t>El valor recomendado es de 6 pulgadas o menos</t>
  </si>
  <si>
    <t>Tractor compactador  - Cada Tractor</t>
  </si>
  <si>
    <t>Tiempo de compactado con tractor (% del tiempo de llenado)</t>
  </si>
  <si>
    <t>====================================================================================================</t>
  </si>
  <si>
    <t>El peso típico del tractor es 10,000-60,000 lbs</t>
  </si>
  <si>
    <t>Peso total proporcional del tractor (lbs) =</t>
  </si>
  <si>
    <t>Altura promedio del ensilado (pies) =</t>
  </si>
  <si>
    <t>Las celdas verdes son valores intermedios calculados</t>
  </si>
  <si>
    <t xml:space="preserve"> Factor de compactación =</t>
  </si>
  <si>
    <t>Los valores en rosa son resultados de cálculos</t>
  </si>
  <si>
    <t>Densidad húmeda promedio estimada = Densidad bruta (lbs AF/pies cub) =</t>
  </si>
  <si>
    <t>Se recomienda una densidad húmeda superior a las 44 lbs AF/pies cub</t>
  </si>
  <si>
    <t>Densidad bruta máxima alcanzable (lbs AF/pies cub)=</t>
  </si>
  <si>
    <t>Una densidad húmeda superior a la Densidad Húmeda Máxima no es realista</t>
  </si>
  <si>
    <t>Porosidad llena de gas =</t>
  </si>
  <si>
    <t>Se recomienda una porosidad llena de gas menor a  0.40</t>
  </si>
  <si>
    <t>Densidad promedio estimada de materia seca  (lbs MS/pies cub) =</t>
  </si>
  <si>
    <t>Se recomienda una densidad mayor a las 15 lbs MS/pies cub.</t>
  </si>
  <si>
    <t>Densidad máxima de MS alcanzable (lbs MS/pies cub)=</t>
  </si>
  <si>
    <t>Una densidad de la MS superior a la Máxima alcanzable no es realista</t>
  </si>
  <si>
    <t xml:space="preserve">     Таблица для расчета средней </t>
  </si>
  <si>
    <t xml:space="preserve">     плотности силоса в силосной яме</t>
  </si>
  <si>
    <t>Браен Холмс (1) и Ричард Мак (2)</t>
  </si>
  <si>
    <t>(1) Факультет моделирования биологических систем и</t>
  </si>
  <si>
    <t xml:space="preserve">(2) Исследовательский центр США по кормам для КРС </t>
  </si>
  <si>
    <t xml:space="preserve">Университет Висконсина, Медисон </t>
  </si>
  <si>
    <t>Высота стенки силосной ямы (м)  =</t>
  </si>
  <si>
    <t>Максимальная высота силосной массы в силосной яме (м) =</t>
  </si>
  <si>
    <t>Значения в желтых ячейках изменяются пользователем</t>
  </si>
  <si>
    <t>Скорость загрузки силоса в яму (тонн/ час) =</t>
  </si>
  <si>
    <t>Типичные значения  15-200 т/ час</t>
  </si>
  <si>
    <t>Содержание СВ в силосе (десятичная дробь, т.е. 0.35) =</t>
  </si>
  <si>
    <t>Рекомендуемое содержание СВ = 0.3-0.4</t>
  </si>
  <si>
    <t>Толщина трамбуемого слоя силоса (см) =</t>
  </si>
  <si>
    <t>Рекомендуемое значение 15.24 и менее см.</t>
  </si>
  <si>
    <t xml:space="preserve">Трамбующий трактор  -каждый трактор </t>
  </si>
  <si>
    <t>вес трактора (кг)</t>
  </si>
  <si>
    <t>Время утрамбовки трактором (% от времени заполнения)</t>
  </si>
  <si>
    <t>Трактор № 1</t>
  </si>
  <si>
    <t>типичный вес трактора 4,500-27,000 кг</t>
  </si>
  <si>
    <t>Трактор №  2</t>
  </si>
  <si>
    <t>Трактор № 3</t>
  </si>
  <si>
    <t>Трактор №  4</t>
  </si>
  <si>
    <t>Пропорциональный общий вес трактора (кг) =</t>
  </si>
  <si>
    <t>Средняя высота силоса (м) =</t>
  </si>
  <si>
    <t xml:space="preserve">В зеленых ячейка промежуточные результаты расчетов </t>
  </si>
  <si>
    <t>Коэффициент утрамбовки  =</t>
  </si>
  <si>
    <t xml:space="preserve">В розовых ячейках результаты расчетов </t>
  </si>
  <si>
    <t xml:space="preserve">Плотности влажного силоса выше Макс.плотности влаж.силоса достичь нереалистично </t>
  </si>
  <si>
    <t>Газонасыщенная пористость =</t>
  </si>
  <si>
    <t>Рекомендуется газонасыщенная пористоть менее 0.40</t>
  </si>
  <si>
    <t xml:space="preserve">Плотность СВ выше максимально достижимой нереалистична </t>
  </si>
  <si>
    <t>================================================================================================================</t>
  </si>
  <si>
    <t>----------------------------------------------------------------------------------------------------------------------------------------------------------------------------------------------</t>
  </si>
  <si>
    <t>Calcul de la densité moyenne de l'ensilage d'un silo couloir</t>
  </si>
  <si>
    <r>
      <t>Brian Holmes,</t>
    </r>
    <r>
      <rPr>
        <sz val="12"/>
        <color indexed="57"/>
        <rFont val="Trebuchet MS"/>
        <family val="2"/>
      </rPr>
      <t xml:space="preserve"> Département d'ingénierie des systèmes biologiques</t>
    </r>
  </si>
  <si>
    <r>
      <t>Richard Muck,</t>
    </r>
    <r>
      <rPr>
        <sz val="12"/>
        <color indexed="57"/>
        <rFont val="Trebuchet MS"/>
        <family val="2"/>
      </rPr>
      <t xml:space="preserve"> US Dairy Forage Research Center</t>
    </r>
  </si>
  <si>
    <r>
      <t xml:space="preserve">Wisconsin-Madison University </t>
    </r>
    <r>
      <rPr>
        <sz val="12"/>
        <color indexed="10"/>
        <rFont val="Trebuchet MS"/>
        <family val="2"/>
      </rPr>
      <t>(23 août 2007)</t>
    </r>
  </si>
  <si>
    <t>Données à entrer</t>
  </si>
  <si>
    <t>Silo couloir</t>
  </si>
  <si>
    <t>Hauteur des murs (m) =</t>
  </si>
  <si>
    <t>Hauteur maximale de l'ensilage (m) =</t>
  </si>
  <si>
    <t>Taux de remplissage (tonnes d'ensilage TQS par heure) =</t>
  </si>
  <si>
    <t>Habituellement entre 15 et 200</t>
  </si>
  <si>
    <t>Teneur en MS de l'ensilage (en décimales) =</t>
  </si>
  <si>
    <t>Teneur recommandée : 0,30 à 0,40</t>
  </si>
  <si>
    <t>Épaisseur de la tranche d'ensilage (cm) =</t>
  </si>
  <si>
    <t>Épaisseur recommandée : 15 cm ou &lt;</t>
  </si>
  <si>
    <t>Tracteurs</t>
  </si>
  <si>
    <t>Poids du tracteur (habituellement entre 4,500 - 27,000 kg)</t>
  </si>
  <si>
    <t>Poids (kg)</t>
  </si>
  <si>
    <t>Temps de compactage (%)</t>
  </si>
  <si>
    <t>Tracteur # 1</t>
  </si>
  <si>
    <t>Tracteur # 2</t>
  </si>
  <si>
    <t>Tracteur # 3</t>
  </si>
  <si>
    <t>Tracteur # 4</t>
  </si>
  <si>
    <t>Résultats</t>
  </si>
  <si>
    <t>Poids total des tracteurs (kg) =</t>
  </si>
  <si>
    <t>Intermédiaires</t>
  </si>
  <si>
    <t>Hauteur moyenne du silo couloir (m) =</t>
  </si>
  <si>
    <t>Facteur de compaction =</t>
  </si>
  <si>
    <r>
      <t>Densité moyenne de l'ensilage = masse volumique (kg TQS/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</si>
  <si>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Masse volumique maximale  (kg TQS/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</si>
  <si>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 xml:space="preserve">Une densité moyenne de TQS supérieure à la masse volumique maximale est irréalisable. </t>
  </si>
  <si>
    <t>Porosité =</t>
  </si>
  <si>
    <t>Une porosité inférieure à 0,40 est recommandée.</t>
  </si>
  <si>
    <r>
      <rPr>
        <b/>
        <sz val="12"/>
        <rFont val="Arial"/>
        <family val="2"/>
      </rPr>
      <t>Densité moyenne de MS (kg MS/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</si>
  <si>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rPr>
        <b/>
        <sz val="12"/>
        <rFont val="Arial"/>
        <family val="2"/>
      </rPr>
      <t>Densité maximale de MS (kg MS/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</si>
  <si>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Une densité moyenne de MS supérieure à sa densité maximale est irréalisable.</t>
  </si>
  <si>
    <t xml:space="preserve">        Peso del tractor (lbs)</t>
  </si>
  <si>
    <t>=====================================================================================================================================================================</t>
  </si>
  <si>
    <r>
      <t>Objetivo Recomendado: mayor a 240 kg MS por m</t>
    </r>
    <r>
      <rPr>
        <vertAlign val="superscript"/>
        <sz val="10"/>
        <rFont val="Trebuchet MS"/>
        <family val="2"/>
      </rPr>
      <t>3</t>
    </r>
  </si>
  <si>
    <t>Dry Matter Density</t>
  </si>
  <si>
    <t>=======================================================================================================================================================================================</t>
  </si>
  <si>
    <t xml:space="preserve">    Átlagos szilázs tömörség kalkuláció falközi silóban (metrikus)</t>
  </si>
  <si>
    <t>Silófal magasság (meter)  =</t>
  </si>
  <si>
    <t>Falközi siló maximum silómagasság (meter) =</t>
  </si>
  <si>
    <t>A sárga cellák értékei változtathatók</t>
  </si>
  <si>
    <t>A szecska behordási sebessége  (tonna AF/óra) =</t>
  </si>
  <si>
    <t>Átlagérték 15-200 T AF/óra</t>
  </si>
  <si>
    <t>Szárazanyag-tartalom (decimálisan 0.35) =</t>
  </si>
  <si>
    <t>Javasolt sza. érték = 0.3-0.4</t>
  </si>
  <si>
    <t>Tömörítési rétegvastagság (cm) =</t>
  </si>
  <si>
    <t>Tömörítő traktor  - Traktor</t>
  </si>
  <si>
    <t>Traktor tömörítési idő (% töltési idő)</t>
  </si>
  <si>
    <t>Tipikus traktor súly 4,500-27,000 Kg</t>
  </si>
  <si>
    <t>Kalkulált Total Traktor Súly (Kg) =</t>
  </si>
  <si>
    <t>Átlagos silófal magasság (meter) =</t>
  </si>
  <si>
    <t>A zöld cellák számolt közbülső értékek</t>
  </si>
  <si>
    <t>Tömörítési faktor =</t>
  </si>
  <si>
    <t>A rózsaszín cella a végeredmény</t>
  </si>
  <si>
    <r>
      <t>Becsült átlagos tömörség (kg sza./m</t>
    </r>
    <r>
      <rPr>
        <b/>
        <vertAlign val="superscript"/>
        <sz val="12"/>
        <rFont val="Arial"/>
        <family val="2"/>
        <charset val="238"/>
      </rPr>
      <t>3</t>
    </r>
    <r>
      <rPr>
        <b/>
        <sz val="12"/>
        <rFont val="Arial"/>
        <family val="2"/>
      </rPr>
      <t>) =</t>
    </r>
  </si>
  <si>
    <r>
      <t>Maximum elérhető sza tömörség (kg sza./m</t>
    </r>
    <r>
      <rPr>
        <b/>
        <vertAlign val="superscript"/>
        <sz val="12"/>
        <rFont val="Arial"/>
        <family val="2"/>
        <charset val="238"/>
      </rPr>
      <t>3</t>
    </r>
    <r>
      <rPr>
        <b/>
        <sz val="12"/>
        <rFont val="Arial"/>
        <family val="2"/>
      </rPr>
      <t>)=</t>
    </r>
  </si>
  <si>
    <t xml:space="preserve">        Traktor súlya (Kg)</t>
  </si>
  <si>
    <t>Taenlen i Gyfrifo Dwysedd Cyfartalog</t>
  </si>
  <si>
    <t>   Silwair mewn Seilo (Unedau Metrig)</t>
  </si>
  <si>
    <t>Brian Holmes(1) a Richard Muck(2)</t>
  </si>
  <si>
    <t>(1) Adran Peirianneg Systemau Biolegol a</t>
  </si>
  <si>
    <t>(2) Canolfan Ymchwil Porthiant Llaeth yr UD</t>
  </si>
  <si>
    <t>Prifysgol Wisconsin - Madison</t>
  </si>
  <si>
    <t>Uchder Silwair Wrth Wal y Seilo (metrau) =</t>
  </si>
  <si>
    <t>23-Awst-07</t>
  </si>
  <si>
    <t>Uchafbwynt Uchder y Silwair yn y Seilo (metrau) =</t>
  </si>
  <si>
    <t>Gallwch newid y gwerthoedd yn y celloedd melyn</t>
  </si>
  <si>
    <t>Cyfradd Cyflenwi Silwair i'r Seilo (tunnell ffres / awr) =</t>
  </si>
  <si>
    <t>Gwerthoedd nodweddiadol yw 15 - 200 tunnell ffres / awr</t>
  </si>
  <si>
    <t>Cynnwys DM y Silwair (degol hy 0.35) =</t>
  </si>
  <si>
    <t>Amrediad a argymhellir o gynnwys DM = 0.3 - 0.4</t>
  </si>
  <si>
    <t>Trwch yr Haenau Pecynnu Silwair (cm) =</t>
  </si>
  <si>
    <t>Gwerth a argymhellir yw 15 cm neu lai</t>
  </si>
  <si>
    <t>Tractorau Llenwi - Pob Tractor</t>
  </si>
  <si>
    <t xml:space="preserve">                        Pwysau Tractor (kg)</t>
  </si>
  <si>
    <t>Amser Llenwi Pob Tractor (% o'r Amser Llenwi)</t>
  </si>
  <si>
    <t>=========================================================================================================</t>
  </si>
  <si>
    <t>Tractor Rhif. 1</t>
  </si>
  <si>
    <t>Tractor Rhif. 2</t>
  </si>
  <si>
    <t>Tractor Rhif. 3</t>
  </si>
  <si>
    <t>Tractor Rhif. 4</t>
  </si>
  <si>
    <t>Cyfanswm Pwysau Tractor Cyfrannol (kg) =</t>
  </si>
  <si>
    <t>Uchder Cyfartalog y Silwair (metrau) =</t>
  </si>
  <si>
    <t>Mae celloedd gwyrdd yn werthoedd cyfrifo canolradd</t>
  </si>
  <si>
    <t>--------------------------------------------------------------------------------------------------------------------------------------------------------------------------------------</t>
  </si>
  <si>
    <t>Ffactor Pacio =</t>
  </si>
  <si>
    <t>Canlyniadau cyfrifiadau yw'r gwerthoedd mewn celloedd pinc</t>
  </si>
  <si>
    <t>Mae Dwysedd Gwlyb sy'n fwy na'r Dwysedd Uchaf Posib yn afrealistig</t>
  </si>
  <si>
    <t>Mandyllau Lenwir â Nwy =</t>
  </si>
  <si>
    <t>Argymhellir Ffigwr Mandyllau Lenwir â Nwy sy'n llai na 0.40</t>
  </si>
  <si>
    <t>Mae Dwysedd Sych sy'n fwy na'r Dwysedd Uchaf Posib yn afrealistig</t>
  </si>
  <si>
    <r>
      <t>Amc. Dwysedd Cyfartalog = Dwysedd Swmp (kg ffres 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</si>
  <si>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Dwysedd Swmp Uchaf Posib (kg ffres 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</si>
  <si>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Amc. Dwysedd Sych Cyfartalog (kg DM 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</si>
  <si>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Dwysedd Sych Uchaf Posib (kg DM 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</si>
  <si>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Argymhellir Dwysedd Gwlyb uwch na 705 kg ffres / m</t>
    </r>
    <r>
      <rPr>
        <vertAlign val="superscript"/>
        <sz val="10"/>
        <rFont val="Arial"/>
        <family val="2"/>
      </rPr>
      <t>3</t>
    </r>
  </si>
  <si>
    <r>
      <t>Argymhellir Dwysedd Sych sy'n fwy na 240 Kg DM / m</t>
    </r>
    <r>
      <rPr>
        <vertAlign val="superscript"/>
        <sz val="10"/>
        <rFont val="Arial"/>
        <family val="2"/>
      </rPr>
      <t>3</t>
    </r>
  </si>
  <si>
    <r>
      <t>Расчетная плотность влажного силоса = насыпная плотность (кг/ 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</si>
  <si>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Максимальная достижимая насыпная плотность (кг/м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)=</t>
    </r>
  </si>
  <si>
    <r>
      <t>Средняя расчетная плотность сухого вещества (кг СВ/м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</si>
  <si>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Максимально достижимая плотность СВ (кг СВ/ 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)=</t>
    </r>
  </si>
  <si>
    <r>
      <t>Рекомендуется плотность влажнгого силоса более 705 кг/ м</t>
    </r>
    <r>
      <rPr>
        <vertAlign val="superscript"/>
        <sz val="10"/>
        <rFont val="Arial"/>
        <family val="2"/>
      </rPr>
      <t>3</t>
    </r>
  </si>
  <si>
    <r>
      <t>Рекомендуется плотность СВ более 240 кг СВ/м</t>
    </r>
    <r>
      <rPr>
        <vertAlign val="superscript"/>
        <sz val="10"/>
        <rFont val="Arial"/>
        <family val="2"/>
      </rPr>
      <t>3</t>
    </r>
  </si>
  <si>
    <r>
      <t>Une densité moyenne de MS supérieure à 240 kg MS/ 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 xml:space="preserve"> est recommandée.</t>
    </r>
  </si>
  <si>
    <r>
      <t>Une densité moyenne de TQS supérieure à 705 kg TQS/ 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 xml:space="preserve"> est recommandée. </t>
    </r>
  </si>
  <si>
    <r>
      <t>Becsült átlagos nedves tömörség = Nedves tömörség (kg eredeti anyag/m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</si>
  <si>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Maximális elérhető nedves tömörség (kg eredeti anyag/m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)=</t>
    </r>
  </si>
  <si>
    <t>Porozitás (gázzal kitöltve) =</t>
  </si>
  <si>
    <t xml:space="preserve">Nem reális, ha a nedves tömörség nagyobb,mint az elérhető maximális nedves tömörség. </t>
  </si>
  <si>
    <t>Javasolt porozitás (gázzal kitöltve): kevesebb, mint  0,40</t>
  </si>
  <si>
    <t xml:space="preserve">Nem reális, ha a szárazanyag tömörség nagyobb,mint az elérhető maximális szárazanyag tömörség. </t>
  </si>
  <si>
    <t xml:space="preserve">&gt; 15 cm </t>
  </si>
  <si>
    <r>
      <t>Javasolt nedves tömörség: legyen nagyobb, mint 705 kg eredeti aynag/m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</si>
  <si>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&gt;240 kg sza/m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reális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</si>
</sst>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#,##0.0_);\(#,##0.0\)"/>
    <numFmt numFmtId="169" formatCode="0_);\(0\)"/>
    <numFmt numFmtId="170" formatCode="0.0_);\(0.0\)"/>
  </numFmts>
  <fonts count="51" x14ac:knownFonts="1">
    <font>
      <sz val="10"/>
      <name val="Arial"/>
    </font>
    <font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i/>
      <sz val="10"/>
      <color indexed="12"/>
      <name val="Trebuchet MS"/>
      <family val="2"/>
    </font>
    <font>
      <b/>
      <sz val="14"/>
      <color indexed="12"/>
      <name val="Trebuchet MS"/>
      <family val="2"/>
    </font>
    <font>
      <sz val="10"/>
      <name val="Trebuchet MS"/>
      <family val="2"/>
    </font>
    <font>
      <sz val="12"/>
      <color indexed="57"/>
      <name val="Trebuchet MS"/>
      <family val="2"/>
    </font>
    <font>
      <b/>
      <sz val="14"/>
      <color indexed="57"/>
      <name val="Trebuchet MS"/>
      <family val="2"/>
    </font>
    <font>
      <sz val="10"/>
      <color indexed="57"/>
      <name val="Trebuchet MS"/>
      <family val="2"/>
    </font>
    <font>
      <sz val="10"/>
      <color indexed="55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b/>
      <sz val="12"/>
      <name val="Trebuchet MS"/>
      <family val="2"/>
    </font>
    <font>
      <sz val="12"/>
      <color indexed="10"/>
      <name val="Trebuchet MS"/>
      <family val="2"/>
    </font>
    <font>
      <b/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vertAlign val="superscript"/>
      <sz val="10"/>
      <name val="Trebuchet MS"/>
      <family val="2"/>
    </font>
    <font>
      <b/>
      <sz val="18"/>
      <name val="Trebuchet MS"/>
      <family val="2"/>
    </font>
    <font>
      <b/>
      <sz val="14"/>
      <name val="Arial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  <charset val="238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2"/>
      <color theme="0"/>
      <name val="Arial"/>
      <family val="2"/>
    </font>
    <font>
      <sz val="11"/>
      <color rgb="FF44546A"/>
      <name val="Calibri"/>
      <family val="2"/>
    </font>
    <font>
      <vertAlign val="superscript"/>
      <sz val="10"/>
      <name val="Arial"/>
      <family val="2"/>
    </font>
    <font>
      <sz val="10"/>
      <color theme="0"/>
      <name val="Trebuchet MS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/>
    <xf numFmtId="0" fontId="2" fillId="0" borderId="0" xfId="0" applyFont="1" applyProtection="1"/>
    <xf numFmtId="15" fontId="2" fillId="0" borderId="0" xfId="0" applyNumberFormat="1" applyFont="1" applyAlignment="1" applyProtection="1">
      <alignment horizontal="left"/>
    </xf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quotePrefix="1" applyFont="1" applyProtection="1"/>
    <xf numFmtId="0" fontId="4" fillId="4" borderId="0" xfId="0" applyFont="1" applyFill="1" applyProtection="1"/>
    <xf numFmtId="0" fontId="5" fillId="0" borderId="0" xfId="0" applyFont="1" applyProtection="1"/>
    <xf numFmtId="0" fontId="0" fillId="4" borderId="0" xfId="0" applyFill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164" fontId="9" fillId="0" borderId="0" xfId="0" applyNumberFormat="1" applyFont="1"/>
    <xf numFmtId="164" fontId="4" fillId="0" borderId="0" xfId="0" applyNumberFormat="1" applyFont="1" applyFill="1" applyProtection="1"/>
    <xf numFmtId="0" fontId="0" fillId="0" borderId="0" xfId="0" applyFill="1" applyProtection="1"/>
    <xf numFmtId="0" fontId="0" fillId="0" borderId="0" xfId="0" quotePrefix="1"/>
    <xf numFmtId="0" fontId="10" fillId="0" borderId="0" xfId="0" applyFont="1" applyProtection="1"/>
    <xf numFmtId="0" fontId="9" fillId="0" borderId="0" xfId="0" applyFont="1" applyFill="1" applyProtection="1"/>
    <xf numFmtId="0" fontId="11" fillId="0" borderId="0" xfId="0" applyFont="1" applyProtection="1"/>
    <xf numFmtId="0" fontId="0" fillId="0" borderId="0" xfId="0" applyFill="1"/>
    <xf numFmtId="0" fontId="2" fillId="0" borderId="0" xfId="0" applyFont="1" applyFill="1" applyProtection="1"/>
    <xf numFmtId="0" fontId="14" fillId="0" borderId="0" xfId="0" applyFont="1"/>
    <xf numFmtId="15" fontId="17" fillId="0" borderId="0" xfId="0" applyNumberFormat="1" applyFont="1" applyAlignment="1" applyProtection="1">
      <alignment horizontal="left"/>
    </xf>
    <xf numFmtId="166" fontId="18" fillId="0" borderId="0" xfId="1" applyNumberFormat="1" applyFont="1"/>
    <xf numFmtId="0" fontId="14" fillId="0" borderId="0" xfId="0" applyFont="1" applyProtection="1"/>
    <xf numFmtId="0" fontId="14" fillId="0" borderId="1" xfId="0" applyFont="1" applyBorder="1" applyAlignment="1" applyProtection="1">
      <alignment horizontal="center" wrapText="1"/>
    </xf>
    <xf numFmtId="0" fontId="14" fillId="0" borderId="0" xfId="0" quotePrefix="1" applyFont="1"/>
    <xf numFmtId="0" fontId="14" fillId="0" borderId="0" xfId="0" applyFont="1" applyFill="1" applyBorder="1"/>
    <xf numFmtId="166" fontId="14" fillId="0" borderId="0" xfId="1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/>
    <xf numFmtId="0" fontId="22" fillId="0" borderId="0" xfId="0" applyNumberFormat="1" applyFont="1" applyFill="1" applyBorder="1" applyProtection="1"/>
    <xf numFmtId="0" fontId="19" fillId="5" borderId="2" xfId="0" applyFont="1" applyFill="1" applyBorder="1" applyAlignment="1">
      <alignment horizontal="center"/>
    </xf>
    <xf numFmtId="0" fontId="14" fillId="0" borderId="0" xfId="0" applyFont="1" applyFill="1"/>
    <xf numFmtId="0" fontId="19" fillId="5" borderId="3" xfId="0" applyFont="1" applyFill="1" applyBorder="1" applyAlignment="1">
      <alignment horizontal="center"/>
    </xf>
    <xf numFmtId="0" fontId="14" fillId="0" borderId="0" xfId="0" quotePrefix="1" applyFont="1" applyProtection="1"/>
    <xf numFmtId="0" fontId="19" fillId="6" borderId="4" xfId="0" applyFont="1" applyFill="1" applyBorder="1" applyAlignment="1">
      <alignment horizontal="center"/>
    </xf>
    <xf numFmtId="164" fontId="4" fillId="4" borderId="5" xfId="0" applyNumberFormat="1" applyFont="1" applyFill="1" applyBorder="1" applyProtection="1"/>
    <xf numFmtId="0" fontId="7" fillId="0" borderId="0" xfId="0" applyNumberFormat="1" applyFont="1" applyFill="1" applyProtection="1"/>
    <xf numFmtId="166" fontId="21" fillId="0" borderId="0" xfId="1" applyNumberFormat="1" applyFont="1" applyFill="1" applyBorder="1" applyProtection="1"/>
    <xf numFmtId="166" fontId="20" fillId="0" borderId="0" xfId="1" applyNumberFormat="1" applyFont="1" applyFill="1" applyProtection="1"/>
    <xf numFmtId="0" fontId="25" fillId="7" borderId="0" xfId="0" applyFont="1" applyFill="1" applyAlignment="1" applyProtection="1">
      <alignment horizontal="center"/>
    </xf>
    <xf numFmtId="0" fontId="26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20" fillId="0" borderId="0" xfId="1" applyNumberFormat="1" applyFont="1" applyFill="1" applyAlignment="1" applyProtection="1">
      <alignment horizontal="center"/>
    </xf>
    <xf numFmtId="0" fontId="0" fillId="3" borderId="0" xfId="0" applyFill="1" applyProtection="1"/>
    <xf numFmtId="1" fontId="4" fillId="0" borderId="0" xfId="0" applyNumberFormat="1" applyFont="1" applyFill="1" applyProtection="1"/>
    <xf numFmtId="0" fontId="4" fillId="7" borderId="5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7" borderId="6" xfId="0" applyFont="1" applyFill="1" applyBorder="1" applyProtection="1">
      <protection locked="0"/>
    </xf>
    <xf numFmtId="2" fontId="4" fillId="4" borderId="5" xfId="0" applyNumberFormat="1" applyFont="1" applyFill="1" applyBorder="1" applyProtection="1"/>
    <xf numFmtId="3" fontId="4" fillId="7" borderId="5" xfId="0" applyNumberFormat="1" applyFont="1" applyFill="1" applyBorder="1" applyProtection="1">
      <protection locked="0"/>
    </xf>
    <xf numFmtId="2" fontId="4" fillId="0" borderId="0" xfId="0" applyNumberFormat="1" applyFont="1" applyFill="1" applyProtection="1"/>
    <xf numFmtId="167" fontId="7" fillId="0" borderId="0" xfId="0" applyNumberFormat="1" applyFont="1" applyFill="1" applyProtection="1"/>
    <xf numFmtId="0" fontId="27" fillId="0" borderId="0" xfId="0" applyFont="1" applyFill="1" applyProtection="1"/>
    <xf numFmtId="0" fontId="20" fillId="0" borderId="0" xfId="0" applyFont="1" applyFill="1"/>
    <xf numFmtId="0" fontId="4" fillId="4" borderId="0" xfId="0" applyFont="1" applyFill="1"/>
    <xf numFmtId="0" fontId="29" fillId="4" borderId="0" xfId="0" applyFont="1" applyFill="1" applyBorder="1" applyProtection="1"/>
    <xf numFmtId="0" fontId="20" fillId="0" borderId="0" xfId="0" applyFont="1"/>
    <xf numFmtId="0" fontId="4" fillId="0" borderId="0" xfId="0" applyFont="1" applyFill="1" applyBorder="1" applyProtection="1"/>
    <xf numFmtId="1" fontId="4" fillId="7" borderId="7" xfId="1" applyNumberFormat="1" applyFont="1" applyFill="1" applyBorder="1" applyProtection="1">
      <protection locked="0"/>
    </xf>
    <xf numFmtId="1" fontId="4" fillId="7" borderId="8" xfId="1" applyNumberFormat="1" applyFont="1" applyFill="1" applyBorder="1" applyProtection="1">
      <protection locked="0"/>
    </xf>
    <xf numFmtId="1" fontId="4" fillId="7" borderId="9" xfId="1" applyNumberFormat="1" applyFont="1" applyFill="1" applyBorder="1" applyProtection="1">
      <protection locked="0"/>
    </xf>
    <xf numFmtId="1" fontId="23" fillId="7" borderId="10" xfId="1" applyNumberFormat="1" applyFont="1" applyFill="1" applyBorder="1" applyAlignment="1" applyProtection="1">
      <alignment horizontal="right"/>
      <protection locked="0"/>
    </xf>
    <xf numFmtId="1" fontId="23" fillId="7" borderId="11" xfId="1" applyNumberFormat="1" applyFont="1" applyFill="1" applyBorder="1" applyAlignment="1" applyProtection="1">
      <alignment horizontal="right"/>
      <protection locked="0"/>
    </xf>
    <xf numFmtId="1" fontId="23" fillId="7" borderId="12" xfId="1" applyNumberFormat="1" applyFont="1" applyFill="1" applyBorder="1" applyAlignment="1" applyProtection="1">
      <alignment horizontal="right"/>
      <protection locked="0"/>
    </xf>
    <xf numFmtId="0" fontId="19" fillId="5" borderId="4" xfId="0" applyFont="1" applyFill="1" applyBorder="1" applyAlignment="1">
      <alignment horizontal="center"/>
    </xf>
    <xf numFmtId="0" fontId="31" fillId="0" borderId="0" xfId="0" applyFont="1" applyProtection="1"/>
    <xf numFmtId="0" fontId="31" fillId="7" borderId="5" xfId="0" applyFont="1" applyFill="1" applyBorder="1" applyProtection="1">
      <protection locked="0"/>
    </xf>
    <xf numFmtId="0" fontId="0" fillId="0" borderId="0" xfId="0" applyFont="1" applyProtection="1"/>
    <xf numFmtId="0" fontId="31" fillId="0" borderId="0" xfId="0" quotePrefix="1" applyFont="1" applyProtection="1"/>
    <xf numFmtId="3" fontId="31" fillId="7" borderId="5" xfId="0" applyNumberFormat="1" applyFont="1" applyFill="1" applyBorder="1" applyProtection="1">
      <protection locked="0"/>
    </xf>
    <xf numFmtId="164" fontId="31" fillId="0" borderId="0" xfId="0" applyNumberFormat="1" applyFont="1" applyFill="1" applyProtection="1"/>
    <xf numFmtId="1" fontId="31" fillId="0" borderId="0" xfId="0" applyNumberFormat="1" applyFont="1" applyFill="1" applyProtection="1"/>
    <xf numFmtId="2" fontId="31" fillId="0" borderId="0" xfId="0" applyNumberFormat="1" applyFont="1" applyFill="1" applyProtection="1"/>
    <xf numFmtId="0" fontId="31" fillId="4" borderId="0" xfId="0" applyFont="1" applyFill="1" applyProtection="1"/>
    <xf numFmtId="164" fontId="31" fillId="4" borderId="5" xfId="0" applyNumberFormat="1" applyFont="1" applyFill="1" applyBorder="1" applyProtection="1"/>
    <xf numFmtId="2" fontId="31" fillId="4" borderId="5" xfId="0" applyNumberFormat="1" applyFont="1" applyFill="1" applyBorder="1" applyProtection="1"/>
    <xf numFmtId="0" fontId="32" fillId="0" borderId="0" xfId="0" applyFont="1" applyProtection="1"/>
    <xf numFmtId="0" fontId="33" fillId="0" borderId="0" xfId="0" applyFont="1" applyProtection="1"/>
    <xf numFmtId="0" fontId="33" fillId="3" borderId="0" xfId="0" applyFont="1" applyFill="1" applyProtection="1"/>
    <xf numFmtId="0" fontId="33" fillId="4" borderId="0" xfId="0" applyFont="1" applyFill="1" applyProtection="1"/>
    <xf numFmtId="0" fontId="33" fillId="2" borderId="0" xfId="0" applyFont="1" applyFill="1" applyProtection="1"/>
    <xf numFmtId="0" fontId="33" fillId="2" borderId="0" xfId="0" applyFont="1" applyFill="1" applyAlignment="1" applyProtection="1">
      <alignment wrapText="1"/>
    </xf>
    <xf numFmtId="166" fontId="18" fillId="0" borderId="0" xfId="2" applyNumberFormat="1" applyFont="1"/>
    <xf numFmtId="43" fontId="4" fillId="7" borderId="14" xfId="2" applyNumberFormat="1" applyFont="1" applyFill="1" applyBorder="1" applyProtection="1">
      <protection locked="0"/>
    </xf>
    <xf numFmtId="1" fontId="4" fillId="7" borderId="7" xfId="2" applyNumberFormat="1" applyFont="1" applyFill="1" applyBorder="1" applyProtection="1">
      <protection locked="0"/>
    </xf>
    <xf numFmtId="1" fontId="23" fillId="7" borderId="10" xfId="2" applyNumberFormat="1" applyFont="1" applyFill="1" applyBorder="1" applyAlignment="1" applyProtection="1">
      <alignment horizontal="right"/>
      <protection locked="0"/>
    </xf>
    <xf numFmtId="1" fontId="4" fillId="7" borderId="8" xfId="2" applyNumberFormat="1" applyFont="1" applyFill="1" applyBorder="1" applyProtection="1">
      <protection locked="0"/>
    </xf>
    <xf numFmtId="1" fontId="23" fillId="7" borderId="11" xfId="2" applyNumberFormat="1" applyFont="1" applyFill="1" applyBorder="1" applyAlignment="1" applyProtection="1">
      <alignment horizontal="right"/>
      <protection locked="0"/>
    </xf>
    <xf numFmtId="1" fontId="4" fillId="7" borderId="9" xfId="2" applyNumberFormat="1" applyFont="1" applyFill="1" applyBorder="1" applyProtection="1">
      <protection locked="0"/>
    </xf>
    <xf numFmtId="1" fontId="23" fillId="7" borderId="12" xfId="2" applyNumberFormat="1" applyFont="1" applyFill="1" applyBorder="1" applyAlignment="1" applyProtection="1">
      <alignment horizontal="right"/>
      <protection locked="0"/>
    </xf>
    <xf numFmtId="166" fontId="4" fillId="0" borderId="0" xfId="2" applyNumberFormat="1" applyFont="1" applyFill="1" applyBorder="1" applyProtection="1">
      <protection locked="0"/>
    </xf>
    <xf numFmtId="166" fontId="14" fillId="0" borderId="0" xfId="2" applyNumberFormat="1" applyFont="1" applyFill="1" applyBorder="1" applyAlignment="1" applyProtection="1">
      <alignment horizontal="left"/>
      <protection locked="0"/>
    </xf>
    <xf numFmtId="165" fontId="4" fillId="3" borderId="5" xfId="2" applyNumberFormat="1" applyFont="1" applyFill="1" applyBorder="1" applyProtection="1"/>
    <xf numFmtId="166" fontId="4" fillId="0" borderId="0" xfId="2" applyNumberFormat="1" applyFont="1" applyProtection="1"/>
    <xf numFmtId="0" fontId="4" fillId="4" borderId="0" xfId="0" applyFont="1" applyFill="1" applyAlignment="1"/>
    <xf numFmtId="166" fontId="14" fillId="0" borderId="0" xfId="2" applyNumberFormat="1" applyFont="1" applyProtection="1"/>
    <xf numFmtId="166" fontId="14" fillId="0" borderId="0" xfId="2" applyNumberFormat="1" applyFont="1"/>
    <xf numFmtId="0" fontId="4" fillId="4" borderId="0" xfId="0" applyFont="1" applyFill="1" applyBorder="1" applyProtection="1"/>
    <xf numFmtId="165" fontId="26" fillId="0" borderId="0" xfId="0" applyNumberFormat="1" applyFont="1" applyFill="1" applyAlignment="1">
      <alignment horizontal="center"/>
    </xf>
    <xf numFmtId="0" fontId="4" fillId="9" borderId="0" xfId="0" applyFont="1" applyFill="1"/>
    <xf numFmtId="0" fontId="4" fillId="9" borderId="0" xfId="0" applyFont="1" applyFill="1" applyBorder="1" applyProtection="1"/>
    <xf numFmtId="2" fontId="14" fillId="0" borderId="0" xfId="0" applyNumberFormat="1" applyFont="1"/>
    <xf numFmtId="2" fontId="4" fillId="7" borderId="13" xfId="1" applyNumberFormat="1" applyFont="1" applyFill="1" applyBorder="1" applyProtection="1">
      <protection locked="0"/>
    </xf>
    <xf numFmtId="2" fontId="4" fillId="7" borderId="14" xfId="1" applyNumberFormat="1" applyFont="1" applyFill="1" applyBorder="1" applyProtection="1">
      <protection locked="0"/>
    </xf>
    <xf numFmtId="2" fontId="4" fillId="7" borderId="15" xfId="1" applyNumberFormat="1" applyFont="1" applyFill="1" applyBorder="1" applyProtection="1">
      <protection locked="0"/>
    </xf>
    <xf numFmtId="2" fontId="4" fillId="0" borderId="0" xfId="1" applyNumberFormat="1" applyFont="1" applyFill="1" applyBorder="1" applyProtection="1">
      <protection locked="0"/>
    </xf>
    <xf numFmtId="2" fontId="4" fillId="0" borderId="0" xfId="1" applyNumberFormat="1" applyFont="1" applyProtection="1"/>
    <xf numFmtId="2" fontId="0" fillId="0" borderId="0" xfId="0" applyNumberFormat="1" applyProtection="1"/>
    <xf numFmtId="2" fontId="14" fillId="0" borderId="0" xfId="1" applyNumberFormat="1" applyFont="1" applyProtection="1"/>
    <xf numFmtId="2" fontId="18" fillId="0" borderId="0" xfId="1" applyNumberFormat="1" applyFont="1"/>
    <xf numFmtId="1" fontId="4" fillId="3" borderId="5" xfId="1" applyNumberFormat="1" applyFont="1" applyFill="1" applyBorder="1" applyProtection="1"/>
    <xf numFmtId="164" fontId="4" fillId="3" borderId="5" xfId="1" applyNumberFormat="1" applyFont="1" applyFill="1" applyBorder="1" applyProtection="1"/>
    <xf numFmtId="164" fontId="23" fillId="4" borderId="5" xfId="1" applyNumberFormat="1" applyFont="1" applyFill="1" applyBorder="1" applyProtection="1"/>
    <xf numFmtId="164" fontId="4" fillId="4" borderId="16" xfId="1" applyNumberFormat="1" applyFont="1" applyFill="1" applyBorder="1" applyProtection="1"/>
    <xf numFmtId="0" fontId="0" fillId="10" borderId="0" xfId="0" applyFill="1" applyProtection="1"/>
    <xf numFmtId="0" fontId="20" fillId="10" borderId="0" xfId="0" applyFont="1" applyFill="1"/>
    <xf numFmtId="0" fontId="14" fillId="10" borderId="0" xfId="0" applyFont="1" applyFill="1"/>
    <xf numFmtId="0" fontId="14" fillId="0" borderId="0" xfId="0" applyFont="1" applyFill="1" applyAlignment="1">
      <alignment horizontal="center"/>
    </xf>
    <xf numFmtId="0" fontId="6" fillId="0" borderId="0" xfId="0" applyFont="1" applyFill="1" applyProtection="1"/>
    <xf numFmtId="0" fontId="4" fillId="0" borderId="0" xfId="0" applyFont="1" applyFill="1" applyProtection="1"/>
    <xf numFmtId="164" fontId="9" fillId="0" borderId="0" xfId="0" applyNumberFormat="1" applyFont="1" applyFill="1" applyProtection="1"/>
    <xf numFmtId="0" fontId="6" fillId="10" borderId="0" xfId="0" applyFont="1" applyFill="1"/>
    <xf numFmtId="0" fontId="14" fillId="10" borderId="0" xfId="0" applyFont="1" applyFill="1" applyProtection="1"/>
    <xf numFmtId="0" fontId="6" fillId="0" borderId="0" xfId="0" applyFont="1"/>
    <xf numFmtId="164" fontId="4" fillId="0" borderId="0" xfId="0" applyNumberFormat="1" applyFont="1"/>
    <xf numFmtId="164" fontId="9" fillId="8" borderId="0" xfId="0" applyNumberFormat="1" applyFont="1" applyFill="1"/>
    <xf numFmtId="164" fontId="4" fillId="0" borderId="0" xfId="0" applyNumberFormat="1" applyFont="1" applyFill="1"/>
    <xf numFmtId="166" fontId="14" fillId="0" borderId="0" xfId="2" applyNumberFormat="1" applyFont="1" applyFill="1" applyBorder="1" applyProtection="1"/>
    <xf numFmtId="0" fontId="39" fillId="0" borderId="0" xfId="0" applyFont="1" applyProtection="1"/>
    <xf numFmtId="2" fontId="4" fillId="0" borderId="5" xfId="1" applyNumberFormat="1" applyFont="1" applyBorder="1" applyAlignment="1" applyProtection="1">
      <alignment horizontal="center"/>
    </xf>
    <xf numFmtId="0" fontId="6" fillId="0" borderId="0" xfId="0" applyFont="1" applyFill="1"/>
    <xf numFmtId="0" fontId="14" fillId="11" borderId="0" xfId="0" applyFont="1" applyFill="1" applyAlignment="1">
      <alignment horizontal="center"/>
    </xf>
    <xf numFmtId="165" fontId="25" fillId="11" borderId="0" xfId="0" applyNumberFormat="1" applyFont="1" applyFill="1" applyAlignment="1">
      <alignment horizontal="center"/>
    </xf>
    <xf numFmtId="0" fontId="39" fillId="11" borderId="0" xfId="0" applyFont="1" applyFill="1" applyProtection="1"/>
    <xf numFmtId="0" fontId="36" fillId="0" borderId="0" xfId="0" applyFont="1" applyProtection="1"/>
    <xf numFmtId="0" fontId="36" fillId="0" borderId="5" xfId="2" applyNumberFormat="1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wrapText="1"/>
    </xf>
    <xf numFmtId="165" fontId="35" fillId="11" borderId="0" xfId="0" applyNumberFormat="1" applyFont="1" applyFill="1"/>
    <xf numFmtId="165" fontId="37" fillId="12" borderId="0" xfId="0" applyNumberFormat="1" applyFont="1" applyFill="1" applyAlignment="1">
      <alignment horizontal="center"/>
    </xf>
    <xf numFmtId="165" fontId="37" fillId="11" borderId="0" xfId="0" applyNumberFormat="1" applyFont="1" applyFill="1"/>
    <xf numFmtId="0" fontId="37" fillId="12" borderId="0" xfId="0" applyFont="1" applyFill="1"/>
    <xf numFmtId="164" fontId="40" fillId="0" borderId="0" xfId="0" applyNumberFormat="1" applyFont="1" applyFill="1" applyProtection="1"/>
    <xf numFmtId="2" fontId="38" fillId="12" borderId="0" xfId="0" applyNumberFormat="1" applyFont="1" applyFill="1" applyAlignment="1">
      <alignment horizontal="center"/>
    </xf>
    <xf numFmtId="2" fontId="37" fillId="12" borderId="0" xfId="0" applyNumberFormat="1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15" fontId="2" fillId="0" borderId="0" xfId="0" applyNumberFormat="1" applyFont="1" applyAlignment="1">
      <alignment horizontal="left"/>
    </xf>
    <xf numFmtId="0" fontId="41" fillId="7" borderId="0" xfId="0" applyFont="1" applyFill="1" applyAlignment="1">
      <alignment horizontal="center"/>
    </xf>
    <xf numFmtId="0" fontId="7" fillId="0" borderId="0" xfId="0" applyFont="1"/>
    <xf numFmtId="0" fontId="4" fillId="0" borderId="0" xfId="0" quotePrefix="1" applyFont="1"/>
    <xf numFmtId="0" fontId="8" fillId="0" borderId="0" xfId="0" applyFont="1"/>
    <xf numFmtId="0" fontId="10" fillId="0" borderId="0" xfId="0" applyFont="1"/>
    <xf numFmtId="1" fontId="4" fillId="0" borderId="0" xfId="0" applyNumberFormat="1" applyFont="1"/>
    <xf numFmtId="0" fontId="0" fillId="4" borderId="0" xfId="0" applyFill="1"/>
    <xf numFmtId="0" fontId="0" fillId="2" borderId="0" xfId="0" applyFill="1"/>
    <xf numFmtId="0" fontId="5" fillId="0" borderId="0" xfId="0" applyFont="1"/>
    <xf numFmtId="164" fontId="9" fillId="0" borderId="0" xfId="0" applyNumberFormat="1" applyFont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/>
    <xf numFmtId="0" fontId="2" fillId="10" borderId="0" xfId="0" applyFont="1" applyFill="1"/>
    <xf numFmtId="0" fontId="0" fillId="13" borderId="0" xfId="0" applyFill="1"/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7" borderId="5" xfId="0" applyFont="1" applyFill="1" applyBorder="1" applyAlignment="1" applyProtection="1">
      <alignment horizontal="center"/>
      <protection locked="0"/>
    </xf>
    <xf numFmtId="49" fontId="4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5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64" fontId="4" fillId="4" borderId="5" xfId="0" applyNumberFormat="1" applyFont="1" applyFill="1" applyBorder="1" applyAlignment="1">
      <alignment horizontal="center"/>
    </xf>
    <xf numFmtId="0" fontId="6" fillId="2" borderId="0" xfId="0" applyFont="1" applyFill="1"/>
    <xf numFmtId="2" fontId="4" fillId="4" borderId="5" xfId="0" applyNumberFormat="1" applyFont="1" applyFill="1" applyBorder="1" applyAlignment="1">
      <alignment horizontal="center"/>
    </xf>
    <xf numFmtId="0" fontId="0" fillId="9" borderId="0" xfId="0" applyFill="1"/>
    <xf numFmtId="164" fontId="9" fillId="0" borderId="0" xfId="0" applyNumberFormat="1" applyFont="1" applyFill="1"/>
    <xf numFmtId="2" fontId="4" fillId="7" borderId="5" xfId="0" applyNumberFormat="1" applyFont="1" applyFill="1" applyBorder="1" applyProtection="1">
      <protection locked="0"/>
    </xf>
    <xf numFmtId="168" fontId="4" fillId="7" borderId="14" xfId="2" applyNumberFormat="1" applyFont="1" applyFill="1" applyBorder="1" applyProtection="1">
      <protection locked="0"/>
    </xf>
    <xf numFmtId="164" fontId="4" fillId="7" borderId="5" xfId="0" applyNumberFormat="1" applyFont="1" applyFill="1" applyBorder="1" applyProtection="1">
      <protection locked="0"/>
    </xf>
    <xf numFmtId="39" fontId="4" fillId="7" borderId="13" xfId="2" applyNumberFormat="1" applyFont="1" applyFill="1" applyBorder="1" applyProtection="1">
      <protection locked="0"/>
    </xf>
    <xf numFmtId="39" fontId="4" fillId="7" borderId="14" xfId="2" applyNumberFormat="1" applyFont="1" applyFill="1" applyBorder="1" applyProtection="1">
      <protection locked="0"/>
    </xf>
    <xf numFmtId="39" fontId="4" fillId="7" borderId="15" xfId="2" applyNumberFormat="1" applyFont="1" applyFill="1" applyBorder="1" applyProtection="1">
      <protection locked="0"/>
    </xf>
    <xf numFmtId="164" fontId="45" fillId="8" borderId="0" xfId="0" applyNumberFormat="1" applyFont="1" applyFill="1"/>
    <xf numFmtId="0" fontId="46" fillId="0" borderId="0" xfId="0" applyFont="1" applyAlignment="1">
      <alignment vertical="center"/>
    </xf>
    <xf numFmtId="164" fontId="4" fillId="9" borderId="5" xfId="0" applyNumberFormat="1" applyFont="1" applyFill="1" applyBorder="1"/>
    <xf numFmtId="164" fontId="4" fillId="9" borderId="0" xfId="0" applyNumberFormat="1" applyFont="1" applyFill="1"/>
    <xf numFmtId="0" fontId="1" fillId="2" borderId="0" xfId="0" applyFont="1" applyFill="1"/>
    <xf numFmtId="0" fontId="48" fillId="0" borderId="0" xfId="0" applyFont="1" applyAlignment="1">
      <alignment horizontal="center"/>
    </xf>
    <xf numFmtId="166" fontId="48" fillId="0" borderId="0" xfId="2" applyNumberFormat="1" applyFont="1" applyFill="1" applyProtection="1"/>
    <xf numFmtId="164" fontId="45" fillId="8" borderId="0" xfId="0" applyNumberFormat="1" applyFont="1" applyFill="1" applyProtection="1"/>
    <xf numFmtId="164" fontId="4" fillId="9" borderId="5" xfId="0" applyNumberFormat="1" applyFont="1" applyFill="1" applyBorder="1" applyProtection="1"/>
    <xf numFmtId="169" fontId="4" fillId="3" borderId="5" xfId="2" applyNumberFormat="1" applyFont="1" applyFill="1" applyBorder="1" applyProtection="1"/>
    <xf numFmtId="170" fontId="23" fillId="4" borderId="5" xfId="2" applyNumberFormat="1" applyFont="1" applyFill="1" applyBorder="1" applyProtection="1"/>
    <xf numFmtId="170" fontId="4" fillId="4" borderId="16" xfId="2" applyNumberFormat="1" applyFont="1" applyFill="1" applyBorder="1" applyProtection="1"/>
    <xf numFmtId="0" fontId="49" fillId="0" borderId="0" xfId="0" applyFont="1"/>
    <xf numFmtId="0" fontId="4" fillId="3" borderId="1" xfId="0" applyFont="1" applyFill="1" applyBorder="1" applyProtection="1"/>
    <xf numFmtId="164" fontId="4" fillId="3" borderId="16" xfId="0" applyNumberFormat="1" applyFont="1" applyFill="1" applyBorder="1" applyProtection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Protection="1"/>
    <xf numFmtId="164" fontId="50" fillId="0" borderId="0" xfId="0" applyNumberFormat="1" applyFont="1" applyFill="1" applyProtection="1"/>
    <xf numFmtId="3" fontId="4" fillId="3" borderId="5" xfId="0" applyNumberFormat="1" applyFont="1" applyFill="1" applyBorder="1" applyProtection="1"/>
    <xf numFmtId="164" fontId="4" fillId="3" borderId="5" xfId="0" applyNumberFormat="1" applyFont="1" applyFill="1" applyBorder="1" applyProtection="1"/>
    <xf numFmtId="164" fontId="4" fillId="10" borderId="0" xfId="0" applyNumberFormat="1" applyFont="1" applyFill="1"/>
    <xf numFmtId="0" fontId="4" fillId="7" borderId="5" xfId="0" applyFont="1" applyFill="1" applyBorder="1" applyAlignment="1" applyProtection="1">
      <alignment horizontal="left"/>
      <protection locked="0"/>
    </xf>
    <xf numFmtId="164" fontId="4" fillId="13" borderId="5" xfId="0" applyNumberFormat="1" applyFont="1" applyFill="1" applyBorder="1" applyAlignment="1">
      <alignment horizontal="center"/>
    </xf>
    <xf numFmtId="0" fontId="31" fillId="7" borderId="5" xfId="0" applyFont="1" applyFill="1" applyBorder="1" applyAlignment="1" applyProtection="1">
      <alignment horizontal="left"/>
      <protection locked="0"/>
    </xf>
    <xf numFmtId="3" fontId="31" fillId="3" borderId="5" xfId="0" applyNumberFormat="1" applyFont="1" applyFill="1" applyBorder="1" applyProtection="1"/>
    <xf numFmtId="164" fontId="31" fillId="3" borderId="5" xfId="0" applyNumberFormat="1" applyFont="1" applyFill="1" applyBorder="1" applyProtection="1"/>
    <xf numFmtId="165" fontId="25" fillId="0" borderId="0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 applyProtection="1">
      <alignment horizontal="center"/>
    </xf>
    <xf numFmtId="2" fontId="4" fillId="4" borderId="5" xfId="0" applyNumberFormat="1" applyFont="1" applyFill="1" applyBorder="1" applyAlignment="1" applyProtection="1">
      <alignment horizontal="center"/>
    </xf>
    <xf numFmtId="0" fontId="0" fillId="13" borderId="0" xfId="0" applyFill="1" applyProtection="1"/>
    <xf numFmtId="0" fontId="1" fillId="10" borderId="0" xfId="0" applyFont="1" applyFill="1"/>
    <xf numFmtId="0" fontId="1" fillId="0" borderId="0" xfId="0" applyFont="1"/>
    <xf numFmtId="0" fontId="1" fillId="0" borderId="0" xfId="0" applyFont="1" applyFill="1"/>
    <xf numFmtId="0" fontId="1" fillId="10" borderId="0" xfId="0" applyFont="1" applyFill="1" applyProtection="1"/>
    <xf numFmtId="0" fontId="19" fillId="5" borderId="17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</cellXfs>
  <cellStyles count="3">
    <cellStyle name="Comma" xfId="1" builtinId="3"/>
    <cellStyle name="Milliers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99CC"/>
      <color rgb="FFFF00FF"/>
      <color rgb="FF00CC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8</xdr:row>
      <xdr:rowOff>104775</xdr:rowOff>
    </xdr:from>
    <xdr:to>
      <xdr:col>17</xdr:col>
      <xdr:colOff>600075</xdr:colOff>
      <xdr:row>15</xdr:row>
      <xdr:rowOff>133350</xdr:rowOff>
    </xdr:to>
    <xdr:sp macro="" textlink="">
      <xdr:nvSpPr>
        <xdr:cNvPr id="1895" name="AutoShape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/>
        </xdr:cNvSpPr>
      </xdr:nvSpPr>
      <xdr:spPr bwMode="auto">
        <a:xfrm>
          <a:off x="11753850" y="1552575"/>
          <a:ext cx="5305425" cy="1543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157480</xdr:colOff>
      <xdr:row>7</xdr:row>
      <xdr:rowOff>150495</xdr:rowOff>
    </xdr:from>
    <xdr:ext cx="1249125" cy="797654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199880" y="1420495"/>
          <a:ext cx="1249125" cy="79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</a:t>
          </a:r>
        </a:p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(ft)</a:t>
          </a:r>
        </a:p>
        <a:p>
          <a:pPr algn="l" rtl="0">
            <a:lnSpc>
              <a:spcPts val="16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9</xdr:col>
      <xdr:colOff>47625</xdr:colOff>
      <xdr:row>8</xdr:row>
      <xdr:rowOff>104775</xdr:rowOff>
    </xdr:from>
    <xdr:to>
      <xdr:col>12</xdr:col>
      <xdr:colOff>123825</xdr:colOff>
      <xdr:row>8</xdr:row>
      <xdr:rowOff>104775</xdr:rowOff>
    </xdr:to>
    <xdr:sp macro="" textlink="">
      <xdr:nvSpPr>
        <xdr:cNvPr id="1897" name="Lin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ShapeType="1"/>
        </xdr:cNvSpPr>
      </xdr:nvSpPr>
      <xdr:spPr bwMode="auto">
        <a:xfrm flipH="1">
          <a:off x="10325100" y="1552575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409575</xdr:colOff>
      <xdr:row>15</xdr:row>
      <xdr:rowOff>133350</xdr:rowOff>
    </xdr:from>
    <xdr:to>
      <xdr:col>12</xdr:col>
      <xdr:colOff>123825</xdr:colOff>
      <xdr:row>15</xdr:row>
      <xdr:rowOff>133350</xdr:rowOff>
    </xdr:to>
    <xdr:sp macro="" textlink="">
      <xdr:nvSpPr>
        <xdr:cNvPr id="1898" name="Line 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ShapeType="1"/>
        </xdr:cNvSpPr>
      </xdr:nvSpPr>
      <xdr:spPr bwMode="auto">
        <a:xfrm flipH="1">
          <a:off x="9458325" y="3095625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178435</xdr:colOff>
      <xdr:row>10</xdr:row>
      <xdr:rowOff>0</xdr:rowOff>
    </xdr:from>
    <xdr:ext cx="1198020" cy="797654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452735" y="1879600"/>
          <a:ext cx="1198020" cy="79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Wall</a:t>
          </a:r>
        </a:p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(ft)</a:t>
          </a:r>
        </a:p>
        <a:p>
          <a:pPr algn="l" rtl="0">
            <a:lnSpc>
              <a:spcPts val="16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9</xdr:col>
      <xdr:colOff>419100</xdr:colOff>
      <xdr:row>14</xdr:row>
      <xdr:rowOff>0</xdr:rowOff>
    </xdr:from>
    <xdr:to>
      <xdr:col>9</xdr:col>
      <xdr:colOff>419100</xdr:colOff>
      <xdr:row>15</xdr:row>
      <xdr:rowOff>133350</xdr:rowOff>
    </xdr:to>
    <xdr:sp macro="" textlink="">
      <xdr:nvSpPr>
        <xdr:cNvPr id="1900" name="Line 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ShapeType="1"/>
        </xdr:cNvSpPr>
      </xdr:nvSpPr>
      <xdr:spPr bwMode="auto">
        <a:xfrm>
          <a:off x="10696575" y="27622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8</xdr:row>
      <xdr:rowOff>104775</xdr:rowOff>
    </xdr:from>
    <xdr:to>
      <xdr:col>9</xdr:col>
      <xdr:colOff>419100</xdr:colOff>
      <xdr:row>10</xdr:row>
      <xdr:rowOff>38100</xdr:rowOff>
    </xdr:to>
    <xdr:sp macro="" textlink="">
      <xdr:nvSpPr>
        <xdr:cNvPr id="1901" name="Line 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ShapeType="1"/>
        </xdr:cNvSpPr>
      </xdr:nvSpPr>
      <xdr:spPr bwMode="auto">
        <a:xfrm flipV="1">
          <a:off x="10696575" y="15525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495300</xdr:colOff>
      <xdr:row>6</xdr:row>
      <xdr:rowOff>38100</xdr:rowOff>
    </xdr:from>
    <xdr:to>
      <xdr:col>17</xdr:col>
      <xdr:colOff>600075</xdr:colOff>
      <xdr:row>8</xdr:row>
      <xdr:rowOff>104775</xdr:rowOff>
    </xdr:to>
    <xdr:sp macro="" textlink="">
      <xdr:nvSpPr>
        <xdr:cNvPr id="1902" name="Freeform 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/>
        </xdr:cNvSpPr>
      </xdr:nvSpPr>
      <xdr:spPr bwMode="auto">
        <a:xfrm>
          <a:off x="11753850" y="1085850"/>
          <a:ext cx="5305425" cy="466725"/>
        </a:xfrm>
        <a:custGeom>
          <a:avLst/>
          <a:gdLst>
            <a:gd name="T0" fmla="*/ 0 w 2688"/>
            <a:gd name="T1" fmla="*/ 2147483646 h 288"/>
            <a:gd name="T2" fmla="*/ 2147483646 w 2688"/>
            <a:gd name="T3" fmla="*/ 2147483646 h 288"/>
            <a:gd name="T4" fmla="*/ 2147483646 w 2688"/>
            <a:gd name="T5" fmla="*/ 2147483646 h 288"/>
            <a:gd name="T6" fmla="*/ 2147483646 w 2688"/>
            <a:gd name="T7" fmla="*/ 0 h 288"/>
            <a:gd name="T8" fmla="*/ 2147483646 w 2688"/>
            <a:gd name="T9" fmla="*/ 0 h 288"/>
            <a:gd name="T10" fmla="*/ 2147483646 w 2688"/>
            <a:gd name="T11" fmla="*/ 0 h 288"/>
            <a:gd name="T12" fmla="*/ 2147483646 w 2688"/>
            <a:gd name="T13" fmla="*/ 2147483646 h 288"/>
            <a:gd name="T14" fmla="*/ 2147483646 w 2688"/>
            <a:gd name="T15" fmla="*/ 2147483646 h 288"/>
            <a:gd name="T16" fmla="*/ 2147483646 w 2688"/>
            <a:gd name="T17" fmla="*/ 2147483646 h 288"/>
            <a:gd name="T18" fmla="*/ 2147483646 w 2688"/>
            <a:gd name="T19" fmla="*/ 2147483646 h 288"/>
            <a:gd name="T20" fmla="*/ 0 w 2688"/>
            <a:gd name="T21" fmla="*/ 2147483646 h 28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88"/>
            <a:gd name="T34" fmla="*/ 0 h 288"/>
            <a:gd name="T35" fmla="*/ 2688 w 2688"/>
            <a:gd name="T36" fmla="*/ 288 h 28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88" h="2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</xdr:row>
      <xdr:rowOff>38100</xdr:rowOff>
    </xdr:from>
    <xdr:to>
      <xdr:col>12</xdr:col>
      <xdr:colOff>209550</xdr:colOff>
      <xdr:row>6</xdr:row>
      <xdr:rowOff>38100</xdr:rowOff>
    </xdr:to>
    <xdr:sp macro="" textlink="">
      <xdr:nvSpPr>
        <xdr:cNvPr id="1903" name="Line 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ShapeType="1"/>
        </xdr:cNvSpPr>
      </xdr:nvSpPr>
      <xdr:spPr bwMode="auto">
        <a:xfrm flipH="1">
          <a:off x="9534525" y="1085850"/>
          <a:ext cx="3324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12</xdr:row>
      <xdr:rowOff>133350</xdr:rowOff>
    </xdr:from>
    <xdr:to>
      <xdr:col>8</xdr:col>
      <xdr:colOff>704850</xdr:colOff>
      <xdr:row>15</xdr:row>
      <xdr:rowOff>133350</xdr:rowOff>
    </xdr:to>
    <xdr:sp macro="" textlink="">
      <xdr:nvSpPr>
        <xdr:cNvPr id="1904" name="Line 1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ShapeType="1"/>
        </xdr:cNvSpPr>
      </xdr:nvSpPr>
      <xdr:spPr bwMode="auto">
        <a:xfrm>
          <a:off x="9753600" y="243840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6</xdr:row>
      <xdr:rowOff>38100</xdr:rowOff>
    </xdr:from>
    <xdr:to>
      <xdr:col>8</xdr:col>
      <xdr:colOff>704850</xdr:colOff>
      <xdr:row>8</xdr:row>
      <xdr:rowOff>66675</xdr:rowOff>
    </xdr:to>
    <xdr:sp macro="" textlink="">
      <xdr:nvSpPr>
        <xdr:cNvPr id="1905" name="Line 1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ShapeType="1"/>
        </xdr:cNvSpPr>
      </xdr:nvSpPr>
      <xdr:spPr bwMode="auto">
        <a:xfrm flipV="1">
          <a:off x="9753600" y="10858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485775</xdr:colOff>
      <xdr:row>8</xdr:row>
      <xdr:rowOff>114300</xdr:rowOff>
    </xdr:from>
    <xdr:to>
      <xdr:col>12</xdr:col>
      <xdr:colOff>400050</xdr:colOff>
      <xdr:row>15</xdr:row>
      <xdr:rowOff>190500</xdr:rowOff>
    </xdr:to>
    <xdr:sp macro="" textlink="">
      <xdr:nvSpPr>
        <xdr:cNvPr id="1906" name="Line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ShapeType="1"/>
        </xdr:cNvSpPr>
      </xdr:nvSpPr>
      <xdr:spPr bwMode="auto">
        <a:xfrm>
          <a:off x="11744325" y="1562100"/>
          <a:ext cx="1304925" cy="159067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15</xdr:row>
      <xdr:rowOff>190500</xdr:rowOff>
    </xdr:from>
    <xdr:to>
      <xdr:col>16</xdr:col>
      <xdr:colOff>85725</xdr:colOff>
      <xdr:row>15</xdr:row>
      <xdr:rowOff>190500</xdr:rowOff>
    </xdr:to>
    <xdr:sp macro="" textlink="">
      <xdr:nvSpPr>
        <xdr:cNvPr id="1907" name="Line 1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ShapeType="1"/>
        </xdr:cNvSpPr>
      </xdr:nvSpPr>
      <xdr:spPr bwMode="auto">
        <a:xfrm>
          <a:off x="12992100" y="3152775"/>
          <a:ext cx="2790825" cy="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8</xdr:row>
      <xdr:rowOff>123825</xdr:rowOff>
    </xdr:from>
    <xdr:to>
      <xdr:col>17</xdr:col>
      <xdr:colOff>676275</xdr:colOff>
      <xdr:row>16</xdr:row>
      <xdr:rowOff>28575</xdr:rowOff>
    </xdr:to>
    <xdr:sp macro="" textlink="">
      <xdr:nvSpPr>
        <xdr:cNvPr id="1908" name="Line 1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ShapeType="1"/>
        </xdr:cNvSpPr>
      </xdr:nvSpPr>
      <xdr:spPr bwMode="auto">
        <a:xfrm flipH="1">
          <a:off x="15735300" y="1571625"/>
          <a:ext cx="1400175" cy="161925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753745</xdr:colOff>
      <xdr:row>11</xdr:row>
      <xdr:rowOff>38100</xdr:rowOff>
    </xdr:from>
    <xdr:to>
      <xdr:col>15</xdr:col>
      <xdr:colOff>609599</xdr:colOff>
      <xdr:row>12</xdr:row>
      <xdr:rowOff>112536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2275820" y="2095500"/>
          <a:ext cx="17526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Horizontal Silo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8</xdr:row>
      <xdr:rowOff>104775</xdr:rowOff>
    </xdr:from>
    <xdr:to>
      <xdr:col>18</xdr:col>
      <xdr:colOff>304800</xdr:colOff>
      <xdr:row>15</xdr:row>
      <xdr:rowOff>133350</xdr:rowOff>
    </xdr:to>
    <xdr:sp macro="" textlink="">
      <xdr:nvSpPr>
        <xdr:cNvPr id="2919" name="AutoShape 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>
          <a:spLocks noChangeArrowheads="1"/>
        </xdr:cNvSpPr>
      </xdr:nvSpPr>
      <xdr:spPr bwMode="auto">
        <a:xfrm>
          <a:off x="11801475" y="1552575"/>
          <a:ext cx="4133850" cy="1543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546735</xdr:colOff>
      <xdr:row>7</xdr:row>
      <xdr:rowOff>114300</xdr:rowOff>
    </xdr:from>
    <xdr:ext cx="1262077" cy="797654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8869771" y="1361621"/>
          <a:ext cx="1262077" cy="79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</a:t>
          </a:r>
        </a:p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(m)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9</xdr:col>
      <xdr:colOff>952500</xdr:colOff>
      <xdr:row>8</xdr:row>
      <xdr:rowOff>104775</xdr:rowOff>
    </xdr:from>
    <xdr:to>
      <xdr:col>12</xdr:col>
      <xdr:colOff>523875</xdr:colOff>
      <xdr:row>8</xdr:row>
      <xdr:rowOff>104775</xdr:rowOff>
    </xdr:to>
    <xdr:sp macro="" textlink="">
      <xdr:nvSpPr>
        <xdr:cNvPr id="2921" name="Line 3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>
          <a:spLocks noChangeShapeType="1"/>
        </xdr:cNvSpPr>
      </xdr:nvSpPr>
      <xdr:spPr bwMode="auto">
        <a:xfrm flipH="1">
          <a:off x="10363200" y="155257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847725</xdr:colOff>
      <xdr:row>15</xdr:row>
      <xdr:rowOff>133350</xdr:rowOff>
    </xdr:from>
    <xdr:to>
      <xdr:col>12</xdr:col>
      <xdr:colOff>523875</xdr:colOff>
      <xdr:row>15</xdr:row>
      <xdr:rowOff>133350</xdr:rowOff>
    </xdr:to>
    <xdr:sp macro="" textlink="">
      <xdr:nvSpPr>
        <xdr:cNvPr id="2922" name="Line 4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>
          <a:spLocks noChangeShapeType="1"/>
        </xdr:cNvSpPr>
      </xdr:nvSpPr>
      <xdr:spPr bwMode="auto">
        <a:xfrm flipH="1">
          <a:off x="9163050" y="30956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71755</xdr:colOff>
      <xdr:row>9</xdr:row>
      <xdr:rowOff>182880</xdr:rowOff>
    </xdr:from>
    <xdr:ext cx="1262077" cy="797654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0447201" y="1838416"/>
          <a:ext cx="1262077" cy="79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Wall</a:t>
          </a:r>
        </a:p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(m)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10</xdr:col>
      <xdr:colOff>457200</xdr:colOff>
      <xdr:row>14</xdr:row>
      <xdr:rowOff>38100</xdr:rowOff>
    </xdr:from>
    <xdr:to>
      <xdr:col>10</xdr:col>
      <xdr:colOff>457200</xdr:colOff>
      <xdr:row>15</xdr:row>
      <xdr:rowOff>133350</xdr:rowOff>
    </xdr:to>
    <xdr:sp macro="" textlink="">
      <xdr:nvSpPr>
        <xdr:cNvPr id="2924" name="Line 6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>
          <a:spLocks noChangeShapeType="1"/>
        </xdr:cNvSpPr>
      </xdr:nvSpPr>
      <xdr:spPr bwMode="auto">
        <a:xfrm>
          <a:off x="10820400" y="28003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8</xdr:row>
      <xdr:rowOff>104775</xdr:rowOff>
    </xdr:from>
    <xdr:to>
      <xdr:col>10</xdr:col>
      <xdr:colOff>419100</xdr:colOff>
      <xdr:row>10</xdr:row>
      <xdr:rowOff>28575</xdr:rowOff>
    </xdr:to>
    <xdr:sp macro="" textlink="">
      <xdr:nvSpPr>
        <xdr:cNvPr id="2925" name="Line 7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>
          <a:spLocks noChangeShapeType="1"/>
        </xdr:cNvSpPr>
      </xdr:nvSpPr>
      <xdr:spPr bwMode="auto">
        <a:xfrm flipV="1">
          <a:off x="10782300" y="15525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6</xdr:row>
      <xdr:rowOff>38100</xdr:rowOff>
    </xdr:from>
    <xdr:to>
      <xdr:col>18</xdr:col>
      <xdr:colOff>304800</xdr:colOff>
      <xdr:row>8</xdr:row>
      <xdr:rowOff>104775</xdr:rowOff>
    </xdr:to>
    <xdr:sp macro="" textlink="">
      <xdr:nvSpPr>
        <xdr:cNvPr id="2926" name="Freeform 8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>
          <a:spLocks/>
        </xdr:cNvSpPr>
      </xdr:nvSpPr>
      <xdr:spPr bwMode="auto">
        <a:xfrm>
          <a:off x="11801475" y="1085850"/>
          <a:ext cx="4133850" cy="466725"/>
        </a:xfrm>
        <a:custGeom>
          <a:avLst/>
          <a:gdLst>
            <a:gd name="T0" fmla="*/ 0 w 2688"/>
            <a:gd name="T1" fmla="*/ 2147483646 h 288"/>
            <a:gd name="T2" fmla="*/ 2147483646 w 2688"/>
            <a:gd name="T3" fmla="*/ 2147483646 h 288"/>
            <a:gd name="T4" fmla="*/ 2147483646 w 2688"/>
            <a:gd name="T5" fmla="*/ 2147483646 h 288"/>
            <a:gd name="T6" fmla="*/ 2147483646 w 2688"/>
            <a:gd name="T7" fmla="*/ 0 h 288"/>
            <a:gd name="T8" fmla="*/ 2147483646 w 2688"/>
            <a:gd name="T9" fmla="*/ 0 h 288"/>
            <a:gd name="T10" fmla="*/ 2147483646 w 2688"/>
            <a:gd name="T11" fmla="*/ 0 h 288"/>
            <a:gd name="T12" fmla="*/ 2147483646 w 2688"/>
            <a:gd name="T13" fmla="*/ 2147483646 h 288"/>
            <a:gd name="T14" fmla="*/ 2147483646 w 2688"/>
            <a:gd name="T15" fmla="*/ 2147483646 h 288"/>
            <a:gd name="T16" fmla="*/ 2147483646 w 2688"/>
            <a:gd name="T17" fmla="*/ 2147483646 h 288"/>
            <a:gd name="T18" fmla="*/ 2147483646 w 2688"/>
            <a:gd name="T19" fmla="*/ 2147483646 h 288"/>
            <a:gd name="T20" fmla="*/ 0 w 2688"/>
            <a:gd name="T21" fmla="*/ 2147483646 h 28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88"/>
            <a:gd name="T34" fmla="*/ 0 h 288"/>
            <a:gd name="T35" fmla="*/ 2688 w 2688"/>
            <a:gd name="T36" fmla="*/ 288 h 28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88" h="2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923925</xdr:colOff>
      <xdr:row>6</xdr:row>
      <xdr:rowOff>38100</xdr:rowOff>
    </xdr:from>
    <xdr:to>
      <xdr:col>13</xdr:col>
      <xdr:colOff>9525</xdr:colOff>
      <xdr:row>6</xdr:row>
      <xdr:rowOff>38100</xdr:rowOff>
    </xdr:to>
    <xdr:sp macro="" textlink="">
      <xdr:nvSpPr>
        <xdr:cNvPr id="2927" name="Line 9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>
          <a:spLocks noChangeShapeType="1"/>
        </xdr:cNvSpPr>
      </xdr:nvSpPr>
      <xdr:spPr bwMode="auto">
        <a:xfrm flipH="1">
          <a:off x="9239250" y="1085850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15</xdr:row>
      <xdr:rowOff>133350</xdr:rowOff>
    </xdr:to>
    <xdr:sp macro="" textlink="">
      <xdr:nvSpPr>
        <xdr:cNvPr id="2928" name="Line 10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>
          <a:spLocks noChangeShapeType="1"/>
        </xdr:cNvSpPr>
      </xdr:nvSpPr>
      <xdr:spPr bwMode="auto">
        <a:xfrm>
          <a:off x="9458325" y="23431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1152525</xdr:colOff>
      <xdr:row>6</xdr:row>
      <xdr:rowOff>38100</xdr:rowOff>
    </xdr:from>
    <xdr:to>
      <xdr:col>8</xdr:col>
      <xdr:colOff>1152525</xdr:colOff>
      <xdr:row>7</xdr:row>
      <xdr:rowOff>190500</xdr:rowOff>
    </xdr:to>
    <xdr:sp macro="" textlink="">
      <xdr:nvSpPr>
        <xdr:cNvPr id="2929" name="Line 1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>
          <a:spLocks noChangeShapeType="1"/>
        </xdr:cNvSpPr>
      </xdr:nvSpPr>
      <xdr:spPr bwMode="auto">
        <a:xfrm flipV="1">
          <a:off x="9458325" y="1085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8</xdr:row>
      <xdr:rowOff>123825</xdr:rowOff>
    </xdr:from>
    <xdr:to>
      <xdr:col>13</xdr:col>
      <xdr:colOff>104775</xdr:colOff>
      <xdr:row>15</xdr:row>
      <xdr:rowOff>190500</xdr:rowOff>
    </xdr:to>
    <xdr:sp macro="" textlink="">
      <xdr:nvSpPr>
        <xdr:cNvPr id="2930" name="Line 12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>
          <a:spLocks noChangeShapeType="1"/>
        </xdr:cNvSpPr>
      </xdr:nvSpPr>
      <xdr:spPr bwMode="auto">
        <a:xfrm>
          <a:off x="11734800" y="1571625"/>
          <a:ext cx="1047750" cy="158115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</xdr:colOff>
      <xdr:row>16</xdr:row>
      <xdr:rowOff>0</xdr:rowOff>
    </xdr:from>
    <xdr:to>
      <xdr:col>16</xdr:col>
      <xdr:colOff>447675</xdr:colOff>
      <xdr:row>16</xdr:row>
      <xdr:rowOff>0</xdr:rowOff>
    </xdr:to>
    <xdr:sp macro="" textlink="">
      <xdr:nvSpPr>
        <xdr:cNvPr id="2931" name="Line 13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>
          <a:spLocks noChangeShapeType="1"/>
        </xdr:cNvSpPr>
      </xdr:nvSpPr>
      <xdr:spPr bwMode="auto">
        <a:xfrm>
          <a:off x="12734925" y="3162300"/>
          <a:ext cx="2162175" cy="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447675</xdr:colOff>
      <xdr:row>8</xdr:row>
      <xdr:rowOff>133350</xdr:rowOff>
    </xdr:from>
    <xdr:to>
      <xdr:col>18</xdr:col>
      <xdr:colOff>314325</xdr:colOff>
      <xdr:row>16</xdr:row>
      <xdr:rowOff>9525</xdr:rowOff>
    </xdr:to>
    <xdr:sp macro="" textlink="">
      <xdr:nvSpPr>
        <xdr:cNvPr id="2932" name="Line 14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>
          <a:spLocks noChangeShapeType="1"/>
        </xdr:cNvSpPr>
      </xdr:nvSpPr>
      <xdr:spPr bwMode="auto">
        <a:xfrm flipH="1">
          <a:off x="14897100" y="1581150"/>
          <a:ext cx="1047750" cy="159067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369570</xdr:colOff>
      <xdr:row>10</xdr:row>
      <xdr:rowOff>125730</xdr:rowOff>
    </xdr:from>
    <xdr:ext cx="1800429" cy="502702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3058231" y="1985373"/>
          <a:ext cx="1800429" cy="502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500"/>
            </a:lnSpc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Horizontal Silo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400"/>
            </a:lnSpc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8</xdr:row>
      <xdr:rowOff>104775</xdr:rowOff>
    </xdr:from>
    <xdr:to>
      <xdr:col>17</xdr:col>
      <xdr:colOff>600075</xdr:colOff>
      <xdr:row>15</xdr:row>
      <xdr:rowOff>133350</xdr:rowOff>
    </xdr:to>
    <xdr:sp macro="" textlink="">
      <xdr:nvSpPr>
        <xdr:cNvPr id="4937" name="AutoShape 1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>
          <a:spLocks noChangeArrowheads="1"/>
        </xdr:cNvSpPr>
      </xdr:nvSpPr>
      <xdr:spPr bwMode="auto">
        <a:xfrm>
          <a:off x="13830300" y="1552575"/>
          <a:ext cx="5305425" cy="1543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642255</xdr:colOff>
      <xdr:row>8</xdr:row>
      <xdr:rowOff>104775</xdr:rowOff>
    </xdr:from>
    <xdr:to>
      <xdr:col>9</xdr:col>
      <xdr:colOff>642255</xdr:colOff>
      <xdr:row>10</xdr:row>
      <xdr:rowOff>38100</xdr:rowOff>
    </xdr:to>
    <xdr:sp macro="" textlink="">
      <xdr:nvSpPr>
        <xdr:cNvPr id="4943" name="Line 7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>
          <a:spLocks noChangeShapeType="1"/>
        </xdr:cNvSpPr>
      </xdr:nvSpPr>
      <xdr:spPr bwMode="auto">
        <a:xfrm flipV="1">
          <a:off x="12997541" y="1574346"/>
          <a:ext cx="0" cy="34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160020</xdr:colOff>
      <xdr:row>6</xdr:row>
      <xdr:rowOff>38100</xdr:rowOff>
    </xdr:from>
    <xdr:to>
      <xdr:col>17</xdr:col>
      <xdr:colOff>676275</xdr:colOff>
      <xdr:row>16</xdr:row>
      <xdr:rowOff>28575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11290663" y="1099457"/>
          <a:ext cx="7918541" cy="2140404"/>
          <a:chOff x="11290663" y="1099457"/>
          <a:chExt cx="7918541" cy="214040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90663" y="1420404"/>
            <a:ext cx="1698157" cy="528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maxima (pies) </a:t>
            </a:r>
          </a:p>
        </xdr:txBody>
      </xdr:sp>
      <xdr:sp macro="" textlink="">
        <xdr:nvSpPr>
          <xdr:cNvPr id="4939" name="Line 3">
            <a:extLst>
              <a:ext uri="{FF2B5EF4-FFF2-40B4-BE49-F238E27FC236}">
                <a16:creationId xmlns:a16="http://schemas.microsoft.com/office/drawing/2014/main" id="{00000000-0008-0000-0200-00004B1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402911" y="1574346"/>
            <a:ext cx="24438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0" name="Line 4">
            <a:extLst>
              <a:ext uri="{FF2B5EF4-FFF2-40B4-BE49-F238E27FC236}">
                <a16:creationId xmlns:a16="http://schemas.microsoft.com/office/drawing/2014/main" id="{00000000-0008-0000-0200-00004C1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540218" y="3140529"/>
            <a:ext cx="33065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05781" y="1877786"/>
            <a:ext cx="1350883" cy="5924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19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</a:t>
            </a:r>
          </a:p>
          <a:p>
            <a:pPr algn="l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pared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(pies)</a:t>
            </a:r>
          </a:p>
        </xdr:txBody>
      </xdr:sp>
      <xdr:sp macro="" textlink="">
        <xdr:nvSpPr>
          <xdr:cNvPr id="4942" name="Line 6">
            <a:extLst>
              <a:ext uri="{FF2B5EF4-FFF2-40B4-BE49-F238E27FC236}">
                <a16:creationId xmlns:a16="http://schemas.microsoft.com/office/drawing/2014/main" id="{00000000-0008-0000-0200-00004E130000}"/>
              </a:ext>
            </a:extLst>
          </xdr:cNvPr>
          <xdr:cNvSpPr>
            <a:spLocks noChangeShapeType="1"/>
          </xdr:cNvSpPr>
        </xdr:nvSpPr>
        <xdr:spPr bwMode="auto">
          <a:xfrm>
            <a:off x="12997541" y="2803071"/>
            <a:ext cx="0" cy="33745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4" name="Freeform 8">
            <a:extLst>
              <a:ext uri="{FF2B5EF4-FFF2-40B4-BE49-F238E27FC236}">
                <a16:creationId xmlns:a16="http://schemas.microsoft.com/office/drawing/2014/main" id="{00000000-0008-0000-0200-000050130000}"/>
              </a:ext>
            </a:extLst>
          </xdr:cNvPr>
          <xdr:cNvSpPr>
            <a:spLocks/>
          </xdr:cNvSpPr>
        </xdr:nvSpPr>
        <xdr:spPr bwMode="auto">
          <a:xfrm>
            <a:off x="13830300" y="1099457"/>
            <a:ext cx="5302704" cy="474889"/>
          </a:xfrm>
          <a:custGeom>
            <a:avLst/>
            <a:gdLst>
              <a:gd name="T0" fmla="*/ 0 w 2688"/>
              <a:gd name="T1" fmla="*/ 2147483646 h 288"/>
              <a:gd name="T2" fmla="*/ 2147483646 w 2688"/>
              <a:gd name="T3" fmla="*/ 2147483646 h 288"/>
              <a:gd name="T4" fmla="*/ 2147483646 w 2688"/>
              <a:gd name="T5" fmla="*/ 2147483646 h 288"/>
              <a:gd name="T6" fmla="*/ 2147483646 w 2688"/>
              <a:gd name="T7" fmla="*/ 0 h 288"/>
              <a:gd name="T8" fmla="*/ 2147483646 w 2688"/>
              <a:gd name="T9" fmla="*/ 0 h 288"/>
              <a:gd name="T10" fmla="*/ 2147483646 w 2688"/>
              <a:gd name="T11" fmla="*/ 0 h 288"/>
              <a:gd name="T12" fmla="*/ 2147483646 w 2688"/>
              <a:gd name="T13" fmla="*/ 2147483646 h 288"/>
              <a:gd name="T14" fmla="*/ 2147483646 w 2688"/>
              <a:gd name="T15" fmla="*/ 2147483646 h 288"/>
              <a:gd name="T16" fmla="*/ 2147483646 w 2688"/>
              <a:gd name="T17" fmla="*/ 2147483646 h 288"/>
              <a:gd name="T18" fmla="*/ 2147483646 w 2688"/>
              <a:gd name="T19" fmla="*/ 2147483646 h 288"/>
              <a:gd name="T20" fmla="*/ 0 w 2688"/>
              <a:gd name="T21" fmla="*/ 2147483646 h 2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688"/>
              <a:gd name="T34" fmla="*/ 0 h 288"/>
              <a:gd name="T35" fmla="*/ 2688 w 2688"/>
              <a:gd name="T36" fmla="*/ 288 h 2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688" h="288">
                <a:moveTo>
                  <a:pt x="0" y="288"/>
                </a:moveTo>
                <a:lnTo>
                  <a:pt x="240" y="144"/>
                </a:lnTo>
                <a:lnTo>
                  <a:pt x="576" y="48"/>
                </a:lnTo>
                <a:lnTo>
                  <a:pt x="912" y="0"/>
                </a:lnTo>
                <a:lnTo>
                  <a:pt x="1344" y="0"/>
                </a:lnTo>
                <a:lnTo>
                  <a:pt x="1728" y="0"/>
                </a:lnTo>
                <a:lnTo>
                  <a:pt x="2016" y="48"/>
                </a:lnTo>
                <a:lnTo>
                  <a:pt x="2352" y="144"/>
                </a:lnTo>
                <a:lnTo>
                  <a:pt x="2448" y="192"/>
                </a:lnTo>
                <a:lnTo>
                  <a:pt x="2688" y="288"/>
                </a:lnTo>
                <a:cubicBezTo>
                  <a:pt x="1792" y="288"/>
                  <a:pt x="896" y="288"/>
                  <a:pt x="0" y="288"/>
                </a:cubicBezTo>
                <a:close/>
              </a:path>
            </a:pathLst>
          </a:custGeom>
          <a:solidFill>
            <a:srgbClr val="008000"/>
          </a:solidFill>
          <a:ln w="28575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45" name="Line 9">
            <a:extLst>
              <a:ext uri="{FF2B5EF4-FFF2-40B4-BE49-F238E27FC236}">
                <a16:creationId xmlns:a16="http://schemas.microsoft.com/office/drawing/2014/main" id="{00000000-0008-0000-0200-0000511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616418" y="1099457"/>
            <a:ext cx="331606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6" name="Line 10">
            <a:extLst>
              <a:ext uri="{FF2B5EF4-FFF2-40B4-BE49-F238E27FC236}">
                <a16:creationId xmlns:a16="http://schemas.microsoft.com/office/drawing/2014/main" id="{00000000-0008-0000-0200-000052130000}"/>
              </a:ext>
            </a:extLst>
          </xdr:cNvPr>
          <xdr:cNvSpPr>
            <a:spLocks noChangeShapeType="1"/>
          </xdr:cNvSpPr>
        </xdr:nvSpPr>
        <xdr:spPr bwMode="auto">
          <a:xfrm>
            <a:off x="11835493" y="2473779"/>
            <a:ext cx="0" cy="6667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7" name="Line 11">
            <a:extLst>
              <a:ext uri="{FF2B5EF4-FFF2-40B4-BE49-F238E27FC236}">
                <a16:creationId xmlns:a16="http://schemas.microsoft.com/office/drawing/2014/main" id="{00000000-0008-0000-0200-0000531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835493" y="1099457"/>
            <a:ext cx="0" cy="43678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8" name="Line 12">
            <a:extLst>
              <a:ext uri="{FF2B5EF4-FFF2-40B4-BE49-F238E27FC236}">
                <a16:creationId xmlns:a16="http://schemas.microsoft.com/office/drawing/2014/main" id="{00000000-0008-0000-0200-000054130000}"/>
              </a:ext>
            </a:extLst>
          </xdr:cNvPr>
          <xdr:cNvSpPr>
            <a:spLocks noChangeShapeType="1"/>
          </xdr:cNvSpPr>
        </xdr:nvSpPr>
        <xdr:spPr bwMode="auto">
          <a:xfrm>
            <a:off x="13820775" y="1593396"/>
            <a:ext cx="1302204" cy="1604283"/>
          </a:xfrm>
          <a:prstGeom prst="line">
            <a:avLst/>
          </a:prstGeom>
          <a:noFill/>
          <a:ln w="1270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49" name="Line 13">
            <a:extLst>
              <a:ext uri="{FF2B5EF4-FFF2-40B4-BE49-F238E27FC236}">
                <a16:creationId xmlns:a16="http://schemas.microsoft.com/office/drawing/2014/main" id="{00000000-0008-0000-0200-000055130000}"/>
              </a:ext>
            </a:extLst>
          </xdr:cNvPr>
          <xdr:cNvSpPr>
            <a:spLocks noChangeShapeType="1"/>
          </xdr:cNvSpPr>
        </xdr:nvSpPr>
        <xdr:spPr bwMode="auto">
          <a:xfrm>
            <a:off x="15065829" y="3197679"/>
            <a:ext cx="2790825" cy="0"/>
          </a:xfrm>
          <a:prstGeom prst="line">
            <a:avLst/>
          </a:prstGeom>
          <a:noFill/>
          <a:ln w="1270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0" name="Line 14">
            <a:extLst>
              <a:ext uri="{FF2B5EF4-FFF2-40B4-BE49-F238E27FC236}">
                <a16:creationId xmlns:a16="http://schemas.microsoft.com/office/drawing/2014/main" id="{00000000-0008-0000-0200-0000561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7809029" y="1593396"/>
            <a:ext cx="1400175" cy="1646465"/>
          </a:xfrm>
          <a:prstGeom prst="line">
            <a:avLst/>
          </a:prstGeom>
          <a:noFill/>
          <a:ln w="1270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471594" y="2118088"/>
            <a:ext cx="2157119" cy="3393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Silo Horizontal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291465</xdr:colOff>
      <xdr:row>8</xdr:row>
      <xdr:rowOff>154305</xdr:rowOff>
    </xdr:from>
    <xdr:ext cx="1672894" cy="502702"/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9069322" y="1936841"/>
          <a:ext cx="1672894" cy="502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500"/>
            </a:lnSpc>
            <a:defRPr sz="1000"/>
          </a:pPr>
          <a:r>
            <a:rPr lang="en-US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Silo Horizontal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4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2859579</xdr:colOff>
      <xdr:row>4</xdr:row>
      <xdr:rowOff>9525</xdr:rowOff>
    </xdr:from>
    <xdr:to>
      <xdr:col>17</xdr:col>
      <xdr:colOff>189001</xdr:colOff>
      <xdr:row>13</xdr:row>
      <xdr:rowOff>8622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15963258" y="975632"/>
          <a:ext cx="6813600" cy="1944919"/>
          <a:chOff x="15963258" y="975632"/>
          <a:chExt cx="6813600" cy="1944919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3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63258" y="1367856"/>
            <a:ext cx="968351" cy="9566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lnSpc>
                <a:spcPts val="1900"/>
              </a:lnSpc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Altura Maxima </a:t>
            </a:r>
          </a:p>
          <a:p>
            <a:pPr algn="l" rtl="0">
              <a:lnSpc>
                <a:spcPts val="1900"/>
              </a:lnSpc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del Silo (m)</a:t>
            </a: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7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3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825204" y="1463520"/>
            <a:ext cx="671793" cy="660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6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Altura del</a:t>
            </a:r>
          </a:p>
          <a:p>
            <a:pPr algn="l" rtl="0">
              <a:lnSpc>
                <a:spcPts val="2000"/>
              </a:lnSpc>
              <a:defRPr sz="1000"/>
            </a:pPr>
            <a:r>
              <a:rPr lang="en-US" sz="16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Muro (m)</a:t>
            </a:r>
          </a:p>
        </xdr:txBody>
      </xdr: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GrpSpPr/>
        </xdr:nvGrpSpPr>
        <xdr:grpSpPr>
          <a:xfrm>
            <a:off x="16698360" y="975632"/>
            <a:ext cx="6078498" cy="1944919"/>
            <a:chOff x="16684753" y="975632"/>
            <a:chExt cx="6078498" cy="1944919"/>
          </a:xfrm>
        </xdr:grpSpPr>
        <xdr:sp macro="" textlink="">
          <xdr:nvSpPr>
            <xdr:cNvPr id="7218" name="AutoShape 1">
              <a:extLs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365057" y="1395068"/>
              <a:ext cx="3389096" cy="1465153"/>
            </a:xfrm>
            <a:custGeom>
              <a:avLst/>
              <a:gdLst>
                <a:gd name="T0" fmla="*/ 2147483646 w 21600"/>
                <a:gd name="T1" fmla="*/ 2147483646 h 21600"/>
                <a:gd name="T2" fmla="*/ 2147483646 w 21600"/>
                <a:gd name="T3" fmla="*/ 2147483646 h 21600"/>
                <a:gd name="T4" fmla="*/ 2147483646 w 21600"/>
                <a:gd name="T5" fmla="*/ 2147483646 h 21600"/>
                <a:gd name="T6" fmla="*/ 2147483646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00 w 21600"/>
                <a:gd name="T13" fmla="*/ 4500 h 21600"/>
                <a:gd name="T14" fmla="*/ 17100 w 21600"/>
                <a:gd name="T15" fmla="*/ 171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8000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214" name="Line 3">
              <a:extLs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560270" y="1395068"/>
              <a:ext cx="155737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15" name="Line 6">
              <a:extLs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4567" y="2435039"/>
              <a:ext cx="0" cy="4251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16" name="Line 7">
              <a:extLs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450619" y="1395068"/>
              <a:ext cx="0" cy="23844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1" name="Line 4">
              <a:extLs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684753" y="2860221"/>
              <a:ext cx="238447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3" name="Freeform 8">
              <a:extLs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>
              <a:spLocks/>
            </xdr:cNvSpPr>
          </xdr:nvSpPr>
          <xdr:spPr bwMode="auto">
            <a:xfrm>
              <a:off x="19362051" y="975632"/>
              <a:ext cx="3389096" cy="419436"/>
            </a:xfrm>
            <a:custGeom>
              <a:avLst/>
              <a:gdLst>
                <a:gd name="T0" fmla="*/ 0 w 2688"/>
                <a:gd name="T1" fmla="*/ 2147483646 h 288"/>
                <a:gd name="T2" fmla="*/ 2147483646 w 2688"/>
                <a:gd name="T3" fmla="*/ 2147483646 h 288"/>
                <a:gd name="T4" fmla="*/ 2147483646 w 2688"/>
                <a:gd name="T5" fmla="*/ 2147483646 h 288"/>
                <a:gd name="T6" fmla="*/ 2147483646 w 2688"/>
                <a:gd name="T7" fmla="*/ 0 h 288"/>
                <a:gd name="T8" fmla="*/ 2147483646 w 2688"/>
                <a:gd name="T9" fmla="*/ 0 h 288"/>
                <a:gd name="T10" fmla="*/ 2147483646 w 2688"/>
                <a:gd name="T11" fmla="*/ 0 h 288"/>
                <a:gd name="T12" fmla="*/ 2147483646 w 2688"/>
                <a:gd name="T13" fmla="*/ 2147483646 h 288"/>
                <a:gd name="T14" fmla="*/ 2147483646 w 2688"/>
                <a:gd name="T15" fmla="*/ 2147483646 h 288"/>
                <a:gd name="T16" fmla="*/ 2147483646 w 2688"/>
                <a:gd name="T17" fmla="*/ 2147483646 h 288"/>
                <a:gd name="T18" fmla="*/ 2147483646 w 2688"/>
                <a:gd name="T19" fmla="*/ 2147483646 h 288"/>
                <a:gd name="T20" fmla="*/ 0 w 2688"/>
                <a:gd name="T21" fmla="*/ 2147483646 h 28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688"/>
                <a:gd name="T34" fmla="*/ 0 h 288"/>
                <a:gd name="T35" fmla="*/ 2688 w 2688"/>
                <a:gd name="T36" fmla="*/ 288 h 28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688" h="288">
                  <a:moveTo>
                    <a:pt x="0" y="288"/>
                  </a:moveTo>
                  <a:lnTo>
                    <a:pt x="240" y="144"/>
                  </a:lnTo>
                  <a:lnTo>
                    <a:pt x="576" y="48"/>
                  </a:lnTo>
                  <a:lnTo>
                    <a:pt x="912" y="0"/>
                  </a:lnTo>
                  <a:lnTo>
                    <a:pt x="1344" y="0"/>
                  </a:lnTo>
                  <a:lnTo>
                    <a:pt x="1728" y="0"/>
                  </a:lnTo>
                  <a:lnTo>
                    <a:pt x="2016" y="48"/>
                  </a:lnTo>
                  <a:lnTo>
                    <a:pt x="2352" y="144"/>
                  </a:lnTo>
                  <a:lnTo>
                    <a:pt x="2448" y="192"/>
                  </a:lnTo>
                  <a:lnTo>
                    <a:pt x="2688" y="288"/>
                  </a:lnTo>
                  <a:cubicBezTo>
                    <a:pt x="1792" y="288"/>
                    <a:pt x="896" y="288"/>
                    <a:pt x="0" y="288"/>
                  </a:cubicBezTo>
                  <a:close/>
                </a:path>
              </a:pathLst>
            </a:custGeom>
            <a:solidFill>
              <a:srgbClr val="008000"/>
            </a:solidFill>
            <a:ln w="28575" cmpd="sng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24" name="Line 9">
              <a:extLs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733169" y="975632"/>
              <a:ext cx="240262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5" name="Line 10">
              <a:extLs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886485" y="2383328"/>
              <a:ext cx="6052" cy="47689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6" name="Line 11">
              <a:extLs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6886485" y="975632"/>
              <a:ext cx="0" cy="48838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7" name="Line 12">
              <a:extLs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19687" y="1395068"/>
              <a:ext cx="853326" cy="1473772"/>
            </a:xfrm>
            <a:prstGeom prst="line">
              <a:avLst/>
            </a:prstGeom>
            <a:noFill/>
            <a:ln w="1270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8" name="Line 13">
              <a:extLs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36702" y="2886077"/>
              <a:ext cx="1773223" cy="0"/>
            </a:xfrm>
            <a:prstGeom prst="line">
              <a:avLst/>
            </a:prstGeom>
            <a:noFill/>
            <a:ln w="1270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29" name="Line 14">
              <a:extLs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1897821" y="1403687"/>
              <a:ext cx="865430" cy="1516864"/>
            </a:xfrm>
            <a:prstGeom prst="line">
              <a:avLst/>
            </a:prstGeom>
            <a:noFill/>
            <a:ln w="1270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Text Box 15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357651" y="1827046"/>
              <a:ext cx="733420" cy="3443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45720" tIns="41148" rIns="0" bIns="0" anchor="t" upright="1"/>
            <a:lstStyle/>
            <a:p>
              <a:pPr algn="l" rtl="0">
                <a:defRPr sz="1000"/>
              </a:pPr>
              <a:r>
                <a:rPr lang="en-US" sz="1600" b="1" i="0" u="none" strike="noStrik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Silo Horizontal</a:t>
              </a:r>
              <a:endPara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endParaRPr>
            </a:p>
            <a:p>
              <a:pPr algn="l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570103</xdr:colOff>
      <xdr:row>7</xdr:row>
      <xdr:rowOff>154160</xdr:rowOff>
    </xdr:from>
    <xdr:to>
      <xdr:col>13</xdr:col>
      <xdr:colOff>525913</xdr:colOff>
      <xdr:row>10</xdr:row>
      <xdr:rowOff>277582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6272746" y="1746196"/>
          <a:ext cx="1479810" cy="790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2000"/>
            </a:lnSpc>
            <a:defRPr sz="1000"/>
          </a:pPr>
          <a:r>
            <a:rPr lang="en-US" sz="1800" b="0" i="0" u="none" strike="noStrike" baseline="0">
              <a:solidFill>
                <a:srgbClr val="FF0000"/>
              </a:solidFill>
              <a:latin typeface="Arial"/>
              <a:cs typeface="Arial"/>
            </a:rPr>
            <a:t>Hauteur des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0" i="0" u="none" strike="noStrike" baseline="0">
              <a:solidFill>
                <a:srgbClr val="FF0000"/>
              </a:solidFill>
              <a:latin typeface="Arial"/>
              <a:cs typeface="Arial"/>
            </a:rPr>
            <a:t>murs (m)</a:t>
          </a:r>
        </a:p>
        <a:p>
          <a:pPr algn="l" rtl="0">
            <a:lnSpc>
              <a:spcPts val="1900"/>
            </a:lnSpc>
            <a:defRPr sz="1000"/>
          </a:pPr>
          <a:endParaRPr lang="en-US" sz="1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609600</xdr:colOff>
      <xdr:row>5</xdr:row>
      <xdr:rowOff>200025</xdr:rowOff>
    </xdr:from>
    <xdr:to>
      <xdr:col>15</xdr:col>
      <xdr:colOff>381000</xdr:colOff>
      <xdr:row>12</xdr:row>
      <xdr:rowOff>152400</xdr:rowOff>
    </xdr:to>
    <xdr:sp macro="" textlink="">
      <xdr:nvSpPr>
        <xdr:cNvPr id="6929" name="Line 12">
          <a:extLst>
            <a:ext uri="{FF2B5EF4-FFF2-40B4-BE49-F238E27FC236}">
              <a16:creationId xmlns:a16="http://schemas.microsoft.com/office/drawing/2014/main" id="{00000000-0008-0000-0400-0000111B0000}"/>
            </a:ext>
          </a:extLst>
        </xdr:cNvPr>
        <xdr:cNvSpPr>
          <a:spLocks noChangeShapeType="1"/>
        </xdr:cNvSpPr>
      </xdr:nvSpPr>
      <xdr:spPr bwMode="auto">
        <a:xfrm>
          <a:off x="17830800" y="1362075"/>
          <a:ext cx="1295400" cy="152400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323850</xdr:colOff>
      <xdr:row>12</xdr:row>
      <xdr:rowOff>171450</xdr:rowOff>
    </xdr:from>
    <xdr:to>
      <xdr:col>18</xdr:col>
      <xdr:colOff>714375</xdr:colOff>
      <xdr:row>12</xdr:row>
      <xdr:rowOff>171450</xdr:rowOff>
    </xdr:to>
    <xdr:sp macro="" textlink="">
      <xdr:nvSpPr>
        <xdr:cNvPr id="6930" name="Line 13">
          <a:extLst>
            <a:ext uri="{FF2B5EF4-FFF2-40B4-BE49-F238E27FC236}">
              <a16:creationId xmlns:a16="http://schemas.microsoft.com/office/drawing/2014/main" id="{00000000-0008-0000-0400-0000121B0000}"/>
            </a:ext>
          </a:extLst>
        </xdr:cNvPr>
        <xdr:cNvSpPr>
          <a:spLocks noChangeShapeType="1"/>
        </xdr:cNvSpPr>
      </xdr:nvSpPr>
      <xdr:spPr bwMode="auto">
        <a:xfrm>
          <a:off x="19069050" y="2905125"/>
          <a:ext cx="2676525" cy="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704850</xdr:colOff>
      <xdr:row>6</xdr:row>
      <xdr:rowOff>9525</xdr:rowOff>
    </xdr:from>
    <xdr:to>
      <xdr:col>20</xdr:col>
      <xdr:colOff>485775</xdr:colOff>
      <xdr:row>13</xdr:row>
      <xdr:rowOff>0</xdr:rowOff>
    </xdr:to>
    <xdr:sp macro="" textlink="">
      <xdr:nvSpPr>
        <xdr:cNvPr id="6931" name="Line 14">
          <a:extLst>
            <a:ext uri="{FF2B5EF4-FFF2-40B4-BE49-F238E27FC236}">
              <a16:creationId xmlns:a16="http://schemas.microsoft.com/office/drawing/2014/main" id="{00000000-0008-0000-0400-0000131B0000}"/>
            </a:ext>
          </a:extLst>
        </xdr:cNvPr>
        <xdr:cNvSpPr>
          <a:spLocks noChangeShapeType="1"/>
        </xdr:cNvSpPr>
      </xdr:nvSpPr>
      <xdr:spPr bwMode="auto">
        <a:xfrm flipH="1">
          <a:off x="21736050" y="1371600"/>
          <a:ext cx="1304925" cy="157162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20</xdr:col>
      <xdr:colOff>457200</xdr:colOff>
      <xdr:row>12</xdr:row>
      <xdr:rowOff>142875</xdr:rowOff>
    </xdr:to>
    <xdr:grpSp>
      <xdr:nvGrpSpPr>
        <xdr:cNvPr id="6932" name="Group 1">
          <a:extLst>
            <a:ext uri="{FF2B5EF4-FFF2-40B4-BE49-F238E27FC236}">
              <a16:creationId xmlns:a16="http://schemas.microsoft.com/office/drawing/2014/main" id="{00000000-0008-0000-0400-0000141B0000}"/>
            </a:ext>
          </a:extLst>
        </xdr:cNvPr>
        <xdr:cNvGrpSpPr>
          <a:grpSpLocks/>
        </xdr:cNvGrpSpPr>
      </xdr:nvGrpSpPr>
      <xdr:grpSpPr bwMode="auto">
        <a:xfrm>
          <a:off x="14110607" y="975632"/>
          <a:ext cx="8907236" cy="1915886"/>
          <a:chOff x="10505332" y="975632"/>
          <a:chExt cx="9269929" cy="2247900"/>
        </a:xfrm>
      </xdr:grpSpPr>
      <xdr:sp macro="" textlink="">
        <xdr:nvSpPr>
          <xdr:cNvPr id="6933" name="AutoShape 1">
            <a:extLst>
              <a:ext uri="{FF2B5EF4-FFF2-40B4-BE49-F238E27FC236}">
                <a16:creationId xmlns:a16="http://schemas.microsoft.com/office/drawing/2014/main" id="{00000000-0008-0000-0400-0000151B0000}"/>
              </a:ext>
            </a:extLst>
          </xdr:cNvPr>
          <xdr:cNvSpPr>
            <a:spLocks noChangeArrowheads="1"/>
          </xdr:cNvSpPr>
        </xdr:nvSpPr>
        <xdr:spPr bwMode="auto">
          <a:xfrm>
            <a:off x="14441261" y="1440996"/>
            <a:ext cx="5334000" cy="1782536"/>
          </a:xfrm>
          <a:custGeom>
            <a:avLst/>
            <a:gdLst>
              <a:gd name="T0" fmla="*/ 2147483646 w 21600"/>
              <a:gd name="T1" fmla="*/ 2147483646 h 21600"/>
              <a:gd name="T2" fmla="*/ 2147483646 w 21600"/>
              <a:gd name="T3" fmla="*/ 2147483646 h 21600"/>
              <a:gd name="T4" fmla="*/ 2147483646 w 21600"/>
              <a:gd name="T5" fmla="*/ 2147483646 h 21600"/>
              <a:gd name="T6" fmla="*/ 2147483646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800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05332" y="1481410"/>
            <a:ext cx="1963044" cy="1123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Hauteur maximale</a:t>
            </a:r>
          </a:p>
          <a:p>
            <a:pPr algn="l" rtl="0">
              <a:lnSpc>
                <a:spcPts val="2000"/>
              </a:lnSpc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 l'ensilage (m)</a:t>
            </a: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8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935" name="Line 3">
            <a:extLst>
              <a:ext uri="{FF2B5EF4-FFF2-40B4-BE49-F238E27FC236}">
                <a16:creationId xmlns:a16="http://schemas.microsoft.com/office/drawing/2014/main" id="{00000000-0008-0000-0400-000017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306300" y="1440996"/>
            <a:ext cx="31731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6" name="Line 4">
            <a:extLst>
              <a:ext uri="{FF2B5EF4-FFF2-40B4-BE49-F238E27FC236}">
                <a16:creationId xmlns:a16="http://schemas.microsoft.com/office/drawing/2014/main" id="{00000000-0008-0000-0400-000018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19064" y="3223532"/>
            <a:ext cx="44604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7" name="Line 6">
            <a:extLst>
              <a:ext uri="{FF2B5EF4-FFF2-40B4-BE49-F238E27FC236}">
                <a16:creationId xmlns:a16="http://schemas.microsoft.com/office/drawing/2014/main" id="{00000000-0008-0000-0400-0000191B0000}"/>
              </a:ext>
            </a:extLst>
          </xdr:cNvPr>
          <xdr:cNvSpPr>
            <a:spLocks noChangeShapeType="1"/>
          </xdr:cNvSpPr>
        </xdr:nvSpPr>
        <xdr:spPr bwMode="auto">
          <a:xfrm>
            <a:off x="13773150" y="2600325"/>
            <a:ext cx="0" cy="62320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8" name="Line 7">
            <a:extLst>
              <a:ext uri="{FF2B5EF4-FFF2-40B4-BE49-F238E27FC236}">
                <a16:creationId xmlns:a16="http://schemas.microsoft.com/office/drawing/2014/main" id="{00000000-0008-0000-0400-00001A1B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782675" y="1440996"/>
            <a:ext cx="0" cy="265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9" name="Freeform 8">
            <a:extLst>
              <a:ext uri="{FF2B5EF4-FFF2-40B4-BE49-F238E27FC236}">
                <a16:creationId xmlns:a16="http://schemas.microsoft.com/office/drawing/2014/main" id="{00000000-0008-0000-0400-00001B1B0000}"/>
              </a:ext>
            </a:extLst>
          </xdr:cNvPr>
          <xdr:cNvSpPr>
            <a:spLocks/>
          </xdr:cNvSpPr>
        </xdr:nvSpPr>
        <xdr:spPr bwMode="auto">
          <a:xfrm>
            <a:off x="14441261" y="975632"/>
            <a:ext cx="5334000" cy="465364"/>
          </a:xfrm>
          <a:custGeom>
            <a:avLst/>
            <a:gdLst>
              <a:gd name="T0" fmla="*/ 0 w 2688"/>
              <a:gd name="T1" fmla="*/ 2147483646 h 288"/>
              <a:gd name="T2" fmla="*/ 2147483646 w 2688"/>
              <a:gd name="T3" fmla="*/ 2147483646 h 288"/>
              <a:gd name="T4" fmla="*/ 2147483646 w 2688"/>
              <a:gd name="T5" fmla="*/ 2147483646 h 288"/>
              <a:gd name="T6" fmla="*/ 2147483646 w 2688"/>
              <a:gd name="T7" fmla="*/ 0 h 288"/>
              <a:gd name="T8" fmla="*/ 2147483646 w 2688"/>
              <a:gd name="T9" fmla="*/ 0 h 288"/>
              <a:gd name="T10" fmla="*/ 2147483646 w 2688"/>
              <a:gd name="T11" fmla="*/ 0 h 288"/>
              <a:gd name="T12" fmla="*/ 2147483646 w 2688"/>
              <a:gd name="T13" fmla="*/ 2147483646 h 288"/>
              <a:gd name="T14" fmla="*/ 2147483646 w 2688"/>
              <a:gd name="T15" fmla="*/ 2147483646 h 288"/>
              <a:gd name="T16" fmla="*/ 2147483646 w 2688"/>
              <a:gd name="T17" fmla="*/ 2147483646 h 288"/>
              <a:gd name="T18" fmla="*/ 2147483646 w 2688"/>
              <a:gd name="T19" fmla="*/ 2147483646 h 288"/>
              <a:gd name="T20" fmla="*/ 0 w 2688"/>
              <a:gd name="T21" fmla="*/ 2147483646 h 2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688"/>
              <a:gd name="T34" fmla="*/ 0 h 288"/>
              <a:gd name="T35" fmla="*/ 2688 w 2688"/>
              <a:gd name="T36" fmla="*/ 288 h 2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688" h="288">
                <a:moveTo>
                  <a:pt x="0" y="288"/>
                </a:moveTo>
                <a:lnTo>
                  <a:pt x="240" y="144"/>
                </a:lnTo>
                <a:lnTo>
                  <a:pt x="576" y="48"/>
                </a:lnTo>
                <a:lnTo>
                  <a:pt x="912" y="0"/>
                </a:lnTo>
                <a:lnTo>
                  <a:pt x="1344" y="0"/>
                </a:lnTo>
                <a:lnTo>
                  <a:pt x="1728" y="0"/>
                </a:lnTo>
                <a:lnTo>
                  <a:pt x="2016" y="48"/>
                </a:lnTo>
                <a:lnTo>
                  <a:pt x="2352" y="144"/>
                </a:lnTo>
                <a:lnTo>
                  <a:pt x="2448" y="192"/>
                </a:lnTo>
                <a:lnTo>
                  <a:pt x="2688" y="288"/>
                </a:lnTo>
                <a:cubicBezTo>
                  <a:pt x="1792" y="288"/>
                  <a:pt x="896" y="288"/>
                  <a:pt x="0" y="288"/>
                </a:cubicBezTo>
                <a:close/>
              </a:path>
            </a:pathLst>
          </a:custGeom>
          <a:solidFill>
            <a:srgbClr val="008000"/>
          </a:solidFill>
          <a:ln w="28575" cmpd="sng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40" name="Line 9">
            <a:extLst>
              <a:ext uri="{FF2B5EF4-FFF2-40B4-BE49-F238E27FC236}">
                <a16:creationId xmlns:a16="http://schemas.microsoft.com/office/drawing/2014/main" id="{00000000-0008-0000-0400-00001C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95264" y="975632"/>
            <a:ext cx="448899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41" name="Line 10">
            <a:extLst>
              <a:ext uri="{FF2B5EF4-FFF2-40B4-BE49-F238E27FC236}">
                <a16:creationId xmlns:a16="http://schemas.microsoft.com/office/drawing/2014/main" id="{00000000-0008-0000-0400-00001D1B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329307" y="2514600"/>
            <a:ext cx="9525" cy="7089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42" name="Line 11">
            <a:extLst>
              <a:ext uri="{FF2B5EF4-FFF2-40B4-BE49-F238E27FC236}">
                <a16:creationId xmlns:a16="http://schemas.microsoft.com/office/drawing/2014/main" id="{00000000-0008-0000-0400-00001E1B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329307" y="975632"/>
            <a:ext cx="0" cy="54156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98745" y="1953469"/>
            <a:ext cx="2121674" cy="11127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1700"/>
              </a:lnSpc>
              <a:defRPr sz="1000"/>
            </a:pPr>
            <a:r>
              <a:rPr lang="en-US" sz="1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Coupe transversale</a:t>
            </a:r>
          </a:p>
          <a:p>
            <a:pPr algn="ctr" rtl="0">
              <a:lnSpc>
                <a:spcPts val="1800"/>
              </a:lnSpc>
              <a:defRPr sz="1000"/>
            </a:pPr>
            <a:r>
              <a:rPr lang="en-US" sz="1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du silo couloir</a:t>
            </a: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6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8</xdr:row>
      <xdr:rowOff>104775</xdr:rowOff>
    </xdr:from>
    <xdr:to>
      <xdr:col>18</xdr:col>
      <xdr:colOff>304800</xdr:colOff>
      <xdr:row>15</xdr:row>
      <xdr:rowOff>133350</xdr:rowOff>
    </xdr:to>
    <xdr:sp macro="" textlink="">
      <xdr:nvSpPr>
        <xdr:cNvPr id="5946" name="AutoShape 1">
          <a:extLst>
            <a:ext uri="{FF2B5EF4-FFF2-40B4-BE49-F238E27FC236}">
              <a16:creationId xmlns:a16="http://schemas.microsoft.com/office/drawing/2014/main" id="{00000000-0008-0000-0500-00003A170000}"/>
            </a:ext>
          </a:extLst>
        </xdr:cNvPr>
        <xdr:cNvSpPr>
          <a:spLocks noChangeArrowheads="1"/>
        </xdr:cNvSpPr>
      </xdr:nvSpPr>
      <xdr:spPr bwMode="auto">
        <a:xfrm>
          <a:off x="12763500" y="1552575"/>
          <a:ext cx="4105275" cy="1543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546735</xdr:colOff>
      <xdr:row>7</xdr:row>
      <xdr:rowOff>114300</xdr:rowOff>
    </xdr:from>
    <xdr:ext cx="1711109" cy="77200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338435" y="1384300"/>
          <a:ext cx="1711109" cy="772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Максимальная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700"/>
            </a:lnSpc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высота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м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lnSpc>
              <a:spcPts val="1500"/>
            </a:lnSpc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9</xdr:col>
      <xdr:colOff>923925</xdr:colOff>
      <xdr:row>8</xdr:row>
      <xdr:rowOff>104775</xdr:rowOff>
    </xdr:from>
    <xdr:to>
      <xdr:col>12</xdr:col>
      <xdr:colOff>523875</xdr:colOff>
      <xdr:row>8</xdr:row>
      <xdr:rowOff>104775</xdr:rowOff>
    </xdr:to>
    <xdr:sp macro="" textlink="">
      <xdr:nvSpPr>
        <xdr:cNvPr id="5948" name="Line 3">
          <a:extLst>
            <a:ext uri="{FF2B5EF4-FFF2-40B4-BE49-F238E27FC236}">
              <a16:creationId xmlns:a16="http://schemas.microsoft.com/office/drawing/2014/main" id="{00000000-0008-0000-0500-00003C170000}"/>
            </a:ext>
          </a:extLst>
        </xdr:cNvPr>
        <xdr:cNvSpPr>
          <a:spLocks noChangeShapeType="1"/>
        </xdr:cNvSpPr>
      </xdr:nvSpPr>
      <xdr:spPr bwMode="auto">
        <a:xfrm flipH="1">
          <a:off x="11839575" y="1552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847725</xdr:colOff>
      <xdr:row>15</xdr:row>
      <xdr:rowOff>133350</xdr:rowOff>
    </xdr:from>
    <xdr:to>
      <xdr:col>12</xdr:col>
      <xdr:colOff>523875</xdr:colOff>
      <xdr:row>15</xdr:row>
      <xdr:rowOff>133350</xdr:rowOff>
    </xdr:to>
    <xdr:sp macro="" textlink="">
      <xdr:nvSpPr>
        <xdr:cNvPr id="5949" name="Line 4">
          <a:extLst>
            <a:ext uri="{FF2B5EF4-FFF2-40B4-BE49-F238E27FC236}">
              <a16:creationId xmlns:a16="http://schemas.microsoft.com/office/drawing/2014/main" id="{00000000-0008-0000-0500-00003D170000}"/>
            </a:ext>
          </a:extLst>
        </xdr:cNvPr>
        <xdr:cNvSpPr>
          <a:spLocks noChangeShapeType="1"/>
        </xdr:cNvSpPr>
      </xdr:nvSpPr>
      <xdr:spPr bwMode="auto">
        <a:xfrm flipH="1">
          <a:off x="10610850" y="309562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71755</xdr:colOff>
      <xdr:row>9</xdr:row>
      <xdr:rowOff>182880</xdr:rowOff>
    </xdr:from>
    <xdr:ext cx="1147878" cy="72071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1946255" y="1859280"/>
          <a:ext cx="1147878" cy="720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Высота</a:t>
          </a: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600"/>
            </a:lnSpc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стенки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м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lnSpc>
              <a:spcPts val="1400"/>
            </a:lnSpc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10</xdr:col>
      <xdr:colOff>447675</xdr:colOff>
      <xdr:row>14</xdr:row>
      <xdr:rowOff>38100</xdr:rowOff>
    </xdr:from>
    <xdr:to>
      <xdr:col>10</xdr:col>
      <xdr:colOff>447675</xdr:colOff>
      <xdr:row>15</xdr:row>
      <xdr:rowOff>133350</xdr:rowOff>
    </xdr:to>
    <xdr:sp macro="" textlink="">
      <xdr:nvSpPr>
        <xdr:cNvPr id="5951" name="Line 6">
          <a:extLst>
            <a:ext uri="{FF2B5EF4-FFF2-40B4-BE49-F238E27FC236}">
              <a16:creationId xmlns:a16="http://schemas.microsoft.com/office/drawing/2014/main" id="{00000000-0008-0000-0500-00003F170000}"/>
            </a:ext>
          </a:extLst>
        </xdr:cNvPr>
        <xdr:cNvSpPr>
          <a:spLocks noChangeShapeType="1"/>
        </xdr:cNvSpPr>
      </xdr:nvSpPr>
      <xdr:spPr bwMode="auto">
        <a:xfrm>
          <a:off x="12287250" y="28003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400050</xdr:colOff>
      <xdr:row>8</xdr:row>
      <xdr:rowOff>104775</xdr:rowOff>
    </xdr:from>
    <xdr:to>
      <xdr:col>10</xdr:col>
      <xdr:colOff>400050</xdr:colOff>
      <xdr:row>10</xdr:row>
      <xdr:rowOff>28575</xdr:rowOff>
    </xdr:to>
    <xdr:sp macro="" textlink="">
      <xdr:nvSpPr>
        <xdr:cNvPr id="5952" name="Line 7">
          <a:extLst>
            <a:ext uri="{FF2B5EF4-FFF2-40B4-BE49-F238E27FC236}">
              <a16:creationId xmlns:a16="http://schemas.microsoft.com/office/drawing/2014/main" id="{00000000-0008-0000-0500-000040170000}"/>
            </a:ext>
          </a:extLst>
        </xdr:cNvPr>
        <xdr:cNvSpPr>
          <a:spLocks noChangeShapeType="1"/>
        </xdr:cNvSpPr>
      </xdr:nvSpPr>
      <xdr:spPr bwMode="auto">
        <a:xfrm flipV="1">
          <a:off x="12239625" y="15525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6</xdr:row>
      <xdr:rowOff>38100</xdr:rowOff>
    </xdr:from>
    <xdr:to>
      <xdr:col>18</xdr:col>
      <xdr:colOff>304800</xdr:colOff>
      <xdr:row>8</xdr:row>
      <xdr:rowOff>104775</xdr:rowOff>
    </xdr:to>
    <xdr:sp macro="" textlink="">
      <xdr:nvSpPr>
        <xdr:cNvPr id="5953" name="Freeform 8">
          <a:extLst>
            <a:ext uri="{FF2B5EF4-FFF2-40B4-BE49-F238E27FC236}">
              <a16:creationId xmlns:a16="http://schemas.microsoft.com/office/drawing/2014/main" id="{00000000-0008-0000-0500-000041170000}"/>
            </a:ext>
          </a:extLst>
        </xdr:cNvPr>
        <xdr:cNvSpPr>
          <a:spLocks/>
        </xdr:cNvSpPr>
      </xdr:nvSpPr>
      <xdr:spPr bwMode="auto">
        <a:xfrm>
          <a:off x="12763500" y="1085850"/>
          <a:ext cx="4105275" cy="466725"/>
        </a:xfrm>
        <a:custGeom>
          <a:avLst/>
          <a:gdLst>
            <a:gd name="T0" fmla="*/ 0 w 2688"/>
            <a:gd name="T1" fmla="*/ 2147483646 h 288"/>
            <a:gd name="T2" fmla="*/ 2147483646 w 2688"/>
            <a:gd name="T3" fmla="*/ 2147483646 h 288"/>
            <a:gd name="T4" fmla="*/ 2147483646 w 2688"/>
            <a:gd name="T5" fmla="*/ 2147483646 h 288"/>
            <a:gd name="T6" fmla="*/ 2147483646 w 2688"/>
            <a:gd name="T7" fmla="*/ 0 h 288"/>
            <a:gd name="T8" fmla="*/ 2147483646 w 2688"/>
            <a:gd name="T9" fmla="*/ 0 h 288"/>
            <a:gd name="T10" fmla="*/ 2147483646 w 2688"/>
            <a:gd name="T11" fmla="*/ 0 h 288"/>
            <a:gd name="T12" fmla="*/ 2147483646 w 2688"/>
            <a:gd name="T13" fmla="*/ 2147483646 h 288"/>
            <a:gd name="T14" fmla="*/ 2147483646 w 2688"/>
            <a:gd name="T15" fmla="*/ 2147483646 h 288"/>
            <a:gd name="T16" fmla="*/ 2147483646 w 2688"/>
            <a:gd name="T17" fmla="*/ 2147483646 h 288"/>
            <a:gd name="T18" fmla="*/ 2147483646 w 2688"/>
            <a:gd name="T19" fmla="*/ 2147483646 h 288"/>
            <a:gd name="T20" fmla="*/ 0 w 2688"/>
            <a:gd name="T21" fmla="*/ 2147483646 h 28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88"/>
            <a:gd name="T34" fmla="*/ 0 h 288"/>
            <a:gd name="T35" fmla="*/ 2688 w 2688"/>
            <a:gd name="T36" fmla="*/ 288 h 28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88" h="2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923925</xdr:colOff>
      <xdr:row>6</xdr:row>
      <xdr:rowOff>38100</xdr:rowOff>
    </xdr:from>
    <xdr:to>
      <xdr:col>13</xdr:col>
      <xdr:colOff>9525</xdr:colOff>
      <xdr:row>6</xdr:row>
      <xdr:rowOff>38100</xdr:rowOff>
    </xdr:to>
    <xdr:sp macro="" textlink="">
      <xdr:nvSpPr>
        <xdr:cNvPr id="5954" name="Line 9">
          <a:extLst>
            <a:ext uri="{FF2B5EF4-FFF2-40B4-BE49-F238E27FC236}">
              <a16:creationId xmlns:a16="http://schemas.microsoft.com/office/drawing/2014/main" id="{00000000-0008-0000-0500-000042170000}"/>
            </a:ext>
          </a:extLst>
        </xdr:cNvPr>
        <xdr:cNvSpPr>
          <a:spLocks noChangeShapeType="1"/>
        </xdr:cNvSpPr>
      </xdr:nvSpPr>
      <xdr:spPr bwMode="auto">
        <a:xfrm flipH="1">
          <a:off x="10687050" y="108585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15</xdr:row>
      <xdr:rowOff>133350</xdr:rowOff>
    </xdr:to>
    <xdr:sp macro="" textlink="">
      <xdr:nvSpPr>
        <xdr:cNvPr id="5955" name="Line 10">
          <a:extLst>
            <a:ext uri="{FF2B5EF4-FFF2-40B4-BE49-F238E27FC236}">
              <a16:creationId xmlns:a16="http://schemas.microsoft.com/office/drawing/2014/main" id="{00000000-0008-0000-0500-000043170000}"/>
            </a:ext>
          </a:extLst>
        </xdr:cNvPr>
        <xdr:cNvSpPr>
          <a:spLocks noChangeShapeType="1"/>
        </xdr:cNvSpPr>
      </xdr:nvSpPr>
      <xdr:spPr bwMode="auto">
        <a:xfrm>
          <a:off x="11249025" y="23431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1152525</xdr:colOff>
      <xdr:row>6</xdr:row>
      <xdr:rowOff>38100</xdr:rowOff>
    </xdr:from>
    <xdr:to>
      <xdr:col>8</xdr:col>
      <xdr:colOff>1152525</xdr:colOff>
      <xdr:row>7</xdr:row>
      <xdr:rowOff>190500</xdr:rowOff>
    </xdr:to>
    <xdr:sp macro="" textlink="">
      <xdr:nvSpPr>
        <xdr:cNvPr id="5956" name="Line 11">
          <a:extLst>
            <a:ext uri="{FF2B5EF4-FFF2-40B4-BE49-F238E27FC236}">
              <a16:creationId xmlns:a16="http://schemas.microsoft.com/office/drawing/2014/main" id="{00000000-0008-0000-0500-000044170000}"/>
            </a:ext>
          </a:extLst>
        </xdr:cNvPr>
        <xdr:cNvSpPr>
          <a:spLocks noChangeShapeType="1"/>
        </xdr:cNvSpPr>
      </xdr:nvSpPr>
      <xdr:spPr bwMode="auto">
        <a:xfrm flipV="1">
          <a:off x="10915650" y="1085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266700</xdr:colOff>
      <xdr:row>8</xdr:row>
      <xdr:rowOff>123825</xdr:rowOff>
    </xdr:from>
    <xdr:to>
      <xdr:col>13</xdr:col>
      <xdr:colOff>104775</xdr:colOff>
      <xdr:row>15</xdr:row>
      <xdr:rowOff>190500</xdr:rowOff>
    </xdr:to>
    <xdr:sp macro="" textlink="">
      <xdr:nvSpPr>
        <xdr:cNvPr id="5957" name="Line 12">
          <a:extLst>
            <a:ext uri="{FF2B5EF4-FFF2-40B4-BE49-F238E27FC236}">
              <a16:creationId xmlns:a16="http://schemas.microsoft.com/office/drawing/2014/main" id="{00000000-0008-0000-0500-000045170000}"/>
            </a:ext>
          </a:extLst>
        </xdr:cNvPr>
        <xdr:cNvSpPr>
          <a:spLocks noChangeShapeType="1"/>
        </xdr:cNvSpPr>
      </xdr:nvSpPr>
      <xdr:spPr bwMode="auto">
        <a:xfrm>
          <a:off x="12696825" y="1571625"/>
          <a:ext cx="1019175" cy="158115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</xdr:colOff>
      <xdr:row>16</xdr:row>
      <xdr:rowOff>0</xdr:rowOff>
    </xdr:from>
    <xdr:to>
      <xdr:col>16</xdr:col>
      <xdr:colOff>447675</xdr:colOff>
      <xdr:row>16</xdr:row>
      <xdr:rowOff>0</xdr:rowOff>
    </xdr:to>
    <xdr:sp macro="" textlink="">
      <xdr:nvSpPr>
        <xdr:cNvPr id="5958" name="Line 13">
          <a:extLst>
            <a:ext uri="{FF2B5EF4-FFF2-40B4-BE49-F238E27FC236}">
              <a16:creationId xmlns:a16="http://schemas.microsoft.com/office/drawing/2014/main" id="{00000000-0008-0000-0500-000046170000}"/>
            </a:ext>
          </a:extLst>
        </xdr:cNvPr>
        <xdr:cNvSpPr>
          <a:spLocks noChangeShapeType="1"/>
        </xdr:cNvSpPr>
      </xdr:nvSpPr>
      <xdr:spPr bwMode="auto">
        <a:xfrm>
          <a:off x="13668375" y="3162300"/>
          <a:ext cx="2162175" cy="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447675</xdr:colOff>
      <xdr:row>8</xdr:row>
      <xdr:rowOff>133350</xdr:rowOff>
    </xdr:from>
    <xdr:to>
      <xdr:col>18</xdr:col>
      <xdr:colOff>314325</xdr:colOff>
      <xdr:row>16</xdr:row>
      <xdr:rowOff>9525</xdr:rowOff>
    </xdr:to>
    <xdr:sp macro="" textlink="">
      <xdr:nvSpPr>
        <xdr:cNvPr id="5959" name="Line 14">
          <a:extLst>
            <a:ext uri="{FF2B5EF4-FFF2-40B4-BE49-F238E27FC236}">
              <a16:creationId xmlns:a16="http://schemas.microsoft.com/office/drawing/2014/main" id="{00000000-0008-0000-0500-000047170000}"/>
            </a:ext>
          </a:extLst>
        </xdr:cNvPr>
        <xdr:cNvSpPr>
          <a:spLocks noChangeShapeType="1"/>
        </xdr:cNvSpPr>
      </xdr:nvSpPr>
      <xdr:spPr bwMode="auto">
        <a:xfrm flipH="1">
          <a:off x="15830550" y="1581150"/>
          <a:ext cx="1047750" cy="159067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379095</xdr:colOff>
      <xdr:row>10</xdr:row>
      <xdr:rowOff>144780</xdr:rowOff>
    </xdr:from>
    <xdr:ext cx="2302682" cy="823302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4044295" y="2024380"/>
          <a:ext cx="2302682" cy="82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Горизонтальное </a:t>
          </a:r>
        </a:p>
        <a:p>
          <a:pPr algn="l" rtl="0">
            <a:lnSpc>
              <a:spcPts val="1800"/>
            </a:lnSpc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силосохранилище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800"/>
            </a:lnSpc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136071</xdr:colOff>
      <xdr:row>8</xdr:row>
      <xdr:rowOff>1359</xdr:rowOff>
    </xdr:from>
    <xdr:to>
      <xdr:col>26</xdr:col>
      <xdr:colOff>500804</xdr:colOff>
      <xdr:row>16</xdr:row>
      <xdr:rowOff>91938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pSpPr/>
      </xdr:nvGrpSpPr>
      <xdr:grpSpPr>
        <a:xfrm>
          <a:off x="13552714" y="1824716"/>
          <a:ext cx="7100269" cy="1832293"/>
          <a:chOff x="13552714" y="1824716"/>
          <a:chExt cx="7100269" cy="1832293"/>
        </a:xfrm>
      </xdr:grpSpPr>
      <xdr:sp macro="" textlink="">
        <xdr:nvSpPr>
          <xdr:cNvPr id="13" name="AutoShape 1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6180102" y="2264937"/>
            <a:ext cx="4290194" cy="1311161"/>
          </a:xfrm>
          <a:custGeom>
            <a:avLst/>
            <a:gdLst>
              <a:gd name="T0" fmla="*/ 787381418 w 21685"/>
              <a:gd name="T1" fmla="*/ 0 h 21789"/>
              <a:gd name="T2" fmla="*/ 0 w 21685"/>
              <a:gd name="T3" fmla="*/ 2147483646 h 21789"/>
              <a:gd name="T4" fmla="*/ 2147483646 w 21685"/>
              <a:gd name="T5" fmla="*/ 2147483646 h 21789"/>
              <a:gd name="T6" fmla="*/ 2147483646 w 21685"/>
              <a:gd name="T7" fmla="*/ 0 h 21789"/>
              <a:gd name="T8" fmla="*/ 787381418 w 21685"/>
              <a:gd name="T9" fmla="*/ 0 h 2178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685" h="21789">
                <a:moveTo>
                  <a:pt x="85" y="0"/>
                </a:moveTo>
                <a:cubicBezTo>
                  <a:pt x="57" y="7263"/>
                  <a:pt x="28" y="14526"/>
                  <a:pt x="0" y="21789"/>
                </a:cubicBezTo>
                <a:lnTo>
                  <a:pt x="21624" y="21695"/>
                </a:lnTo>
                <a:cubicBezTo>
                  <a:pt x="21644" y="14463"/>
                  <a:pt x="21665" y="7232"/>
                  <a:pt x="21685" y="0"/>
                </a:cubicBezTo>
                <a:lnTo>
                  <a:pt x="85" y="0"/>
                </a:lnTo>
                <a:close/>
              </a:path>
            </a:pathLst>
          </a:custGeom>
          <a:solidFill>
            <a:srgbClr val="008000"/>
          </a:solidFill>
          <a:ln w="63500">
            <a:solidFill>
              <a:srgbClr val="008000"/>
            </a:solidFill>
            <a:miter lim="800000"/>
            <a:headEnd/>
            <a:tailEnd/>
          </a:ln>
        </xdr:spPr>
      </xdr:sp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GrpSpPr/>
        </xdr:nvGrpSpPr>
        <xdr:grpSpPr>
          <a:xfrm>
            <a:off x="13552714" y="1824716"/>
            <a:ext cx="7100269" cy="1832293"/>
            <a:chOff x="13552714" y="1824716"/>
            <a:chExt cx="7100269" cy="1832293"/>
          </a:xfrm>
        </xdr:grpSpPr>
        <xdr:sp macro="" textlink="">
          <xdr:nvSpPr>
            <xdr:cNvPr id="2" name="Text Box 5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954251" y="2481123"/>
              <a:ext cx="1017373" cy="5206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91440" tIns="45720" rIns="91440" bIns="45720" anchor="t" upright="1">
              <a:noAutofit/>
            </a:bodyPr>
            <a:lstStyle/>
            <a:p>
              <a:pPr algn="ctr" rtl="0">
                <a:lnSpc>
                  <a:spcPts val="1200"/>
                </a:lnSpc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Uchdwr with y wal (m)</a:t>
              </a:r>
            </a:p>
            <a:p>
              <a:pPr algn="ctr" rtl="0">
                <a:lnSpc>
                  <a:spcPts val="1300"/>
                </a:lnSpc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" name="Text Box 2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552714" y="2459287"/>
              <a:ext cx="1537608" cy="39821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91440" tIns="45720" rIns="91440" bIns="45720" anchor="t" upright="1">
              <a:noAutofit/>
            </a:bodyPr>
            <a:lstStyle/>
            <a:p>
              <a:pPr algn="ctr" rtl="0">
                <a:lnSpc>
                  <a:spcPts val="1200"/>
                </a:lnSpc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Uchafbwynt (m)</a:t>
              </a:r>
            </a:p>
            <a:p>
              <a:pPr algn="ctr" rtl="0">
                <a:lnSpc>
                  <a:spcPts val="1400"/>
                </a:lnSpc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" name="Line 10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84487" y="2724160"/>
              <a:ext cx="0" cy="84243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Line 11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4375448" y="1824716"/>
              <a:ext cx="9038" cy="6650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Line 3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246141" y="2245934"/>
              <a:ext cx="888769" cy="950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207596" y="3576098"/>
              <a:ext cx="26060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6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517291" y="3107374"/>
              <a:ext cx="0" cy="45922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7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5490176" y="2236433"/>
              <a:ext cx="9038" cy="2153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9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234810" y="1824716"/>
              <a:ext cx="268739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Freeform 8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SpPr>
              <a:spLocks/>
            </xdr:cNvSpPr>
          </xdr:nvSpPr>
          <xdr:spPr bwMode="auto">
            <a:xfrm>
              <a:off x="16180102" y="1824716"/>
              <a:ext cx="4272117" cy="411717"/>
            </a:xfrm>
            <a:custGeom>
              <a:avLst/>
              <a:gdLst>
                <a:gd name="T0" fmla="*/ 0 w 2688"/>
                <a:gd name="T1" fmla="*/ 2147483646 h 288"/>
                <a:gd name="T2" fmla="*/ 2147483646 w 2688"/>
                <a:gd name="T3" fmla="*/ 2147483646 h 288"/>
                <a:gd name="T4" fmla="*/ 2147483646 w 2688"/>
                <a:gd name="T5" fmla="*/ 2147483646 h 288"/>
                <a:gd name="T6" fmla="*/ 2147483646 w 2688"/>
                <a:gd name="T7" fmla="*/ 0 h 288"/>
                <a:gd name="T8" fmla="*/ 2147483646 w 2688"/>
                <a:gd name="T9" fmla="*/ 0 h 288"/>
                <a:gd name="T10" fmla="*/ 2147483646 w 2688"/>
                <a:gd name="T11" fmla="*/ 0 h 288"/>
                <a:gd name="T12" fmla="*/ 2147483646 w 2688"/>
                <a:gd name="T13" fmla="*/ 2147483646 h 288"/>
                <a:gd name="T14" fmla="*/ 2147483646 w 2688"/>
                <a:gd name="T15" fmla="*/ 2147483646 h 288"/>
                <a:gd name="T16" fmla="*/ 2147483646 w 2688"/>
                <a:gd name="T17" fmla="*/ 2147483646 h 288"/>
                <a:gd name="T18" fmla="*/ 2147483646 w 2688"/>
                <a:gd name="T19" fmla="*/ 2147483646 h 288"/>
                <a:gd name="T20" fmla="*/ 0 w 2688"/>
                <a:gd name="T21" fmla="*/ 2147483646 h 28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688"/>
                <a:gd name="T34" fmla="*/ 0 h 288"/>
                <a:gd name="T35" fmla="*/ 2688 w 2688"/>
                <a:gd name="T36" fmla="*/ 288 h 28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688" h="288">
                  <a:moveTo>
                    <a:pt x="0" y="288"/>
                  </a:moveTo>
                  <a:lnTo>
                    <a:pt x="240" y="144"/>
                  </a:lnTo>
                  <a:lnTo>
                    <a:pt x="576" y="48"/>
                  </a:lnTo>
                  <a:lnTo>
                    <a:pt x="912" y="0"/>
                  </a:lnTo>
                  <a:lnTo>
                    <a:pt x="1344" y="0"/>
                  </a:lnTo>
                  <a:lnTo>
                    <a:pt x="1728" y="0"/>
                  </a:lnTo>
                  <a:lnTo>
                    <a:pt x="2016" y="48"/>
                  </a:lnTo>
                  <a:lnTo>
                    <a:pt x="2352" y="144"/>
                  </a:lnTo>
                  <a:lnTo>
                    <a:pt x="2448" y="192"/>
                  </a:lnTo>
                  <a:lnTo>
                    <a:pt x="2688" y="288"/>
                  </a:lnTo>
                  <a:cubicBezTo>
                    <a:pt x="1792" y="288"/>
                    <a:pt x="896" y="288"/>
                    <a:pt x="0" y="288"/>
                  </a:cubicBezTo>
                  <a:close/>
                </a:path>
              </a:pathLst>
            </a:custGeom>
            <a:solidFill>
              <a:srgbClr val="008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28575" cmpd="sng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6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 bwMode="auto">
            <a:xfrm>
              <a:off x="16012637" y="2174629"/>
              <a:ext cx="194659" cy="1463040"/>
            </a:xfrm>
            <a:prstGeom prst="rect">
              <a:avLst/>
            </a:prstGeom>
          </xdr:spPr>
        </xdr:pic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00000000-0008-0000-0600-000031000000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 bwMode="auto">
            <a:xfrm>
              <a:off x="20469361" y="2193969"/>
              <a:ext cx="183622" cy="1463040"/>
            </a:xfrm>
            <a:prstGeom prst="rect">
              <a:avLst/>
            </a:prstGeom>
          </xdr:spPr>
        </xdr:pic>
        <xdr:sp macro="" textlink="">
          <xdr:nvSpPr>
            <xdr:cNvPr id="17" name="Line 4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017412" y="3633105"/>
              <a:ext cx="4624612" cy="0"/>
            </a:xfrm>
            <a:prstGeom prst="line">
              <a:avLst/>
            </a:prstGeom>
            <a:noFill/>
            <a:ln w="133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Text Box 15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993202" y="2472642"/>
              <a:ext cx="1882685" cy="3674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91440" tIns="45720" rIns="91440" bIns="45720" anchor="t" upright="1">
              <a:noAutofit/>
            </a:bodyPr>
            <a:lstStyle/>
            <a:p>
              <a:pPr algn="l" rtl="0">
                <a:lnSpc>
                  <a:spcPts val="1700"/>
                </a:lnSpc>
                <a:defRPr sz="1000"/>
              </a:pPr>
              <a:r>
                <a:rPr lang="en-US" sz="18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Seilo Llorweddol</a:t>
              </a:r>
              <a:endParaRPr lang="en-US" sz="18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8</xdr:row>
      <xdr:rowOff>95250</xdr:rowOff>
    </xdr:from>
    <xdr:to>
      <xdr:col>22</xdr:col>
      <xdr:colOff>190500</xdr:colOff>
      <xdr:row>15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0325100" y="1543050"/>
          <a:ext cx="4238625" cy="156210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104775</xdr:colOff>
      <xdr:row>7</xdr:row>
      <xdr:rowOff>104775</xdr:rowOff>
    </xdr:from>
    <xdr:to>
      <xdr:col>13</xdr:col>
      <xdr:colOff>545388</xdr:colOff>
      <xdr:row>10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7772400" y="1352550"/>
          <a:ext cx="165981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magasság (m)</a:t>
          </a:r>
        </a:p>
      </xdr:txBody>
    </xdr:sp>
    <xdr:clientData/>
  </xdr:twoCellAnchor>
  <xdr:twoCellAnchor>
    <xdr:from>
      <xdr:col>13</xdr:col>
      <xdr:colOff>504825</xdr:colOff>
      <xdr:row>8</xdr:row>
      <xdr:rowOff>95250</xdr:rowOff>
    </xdr:from>
    <xdr:to>
      <xdr:col>16</xdr:col>
      <xdr:colOff>438150</xdr:colOff>
      <xdr:row>8</xdr:row>
      <xdr:rowOff>104775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9391650" y="1543050"/>
          <a:ext cx="1762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15</xdr:row>
      <xdr:rowOff>142875</xdr:rowOff>
    </xdr:from>
    <xdr:to>
      <xdr:col>16</xdr:col>
      <xdr:colOff>438150</xdr:colOff>
      <xdr:row>15</xdr:row>
      <xdr:rowOff>142875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flipH="1">
          <a:off x="8782050" y="3105150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295275</xdr:colOff>
      <xdr:row>10</xdr:row>
      <xdr:rowOff>47626</xdr:rowOff>
    </xdr:from>
    <xdr:to>
      <xdr:col>16</xdr:col>
      <xdr:colOff>28575</xdr:colOff>
      <xdr:row>13</xdr:row>
      <xdr:rowOff>38101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9182100" y="1895476"/>
          <a:ext cx="1562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Silófal</a:t>
          </a: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magasság(m)</a:t>
          </a:r>
        </a:p>
      </xdr:txBody>
    </xdr:sp>
    <xdr:clientData/>
  </xdr:twoCellAnchor>
  <xdr:twoCellAnchor>
    <xdr:from>
      <xdr:col>14</xdr:col>
      <xdr:colOff>352425</xdr:colOff>
      <xdr:row>14</xdr:row>
      <xdr:rowOff>38100</xdr:rowOff>
    </xdr:from>
    <xdr:to>
      <xdr:col>14</xdr:col>
      <xdr:colOff>352425</xdr:colOff>
      <xdr:row>15</xdr:row>
      <xdr:rowOff>142875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9848850" y="2800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8</xdr:row>
      <xdr:rowOff>95250</xdr:rowOff>
    </xdr:from>
    <xdr:to>
      <xdr:col>14</xdr:col>
      <xdr:colOff>314325</xdr:colOff>
      <xdr:row>10</xdr:row>
      <xdr:rowOff>28575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 flipV="1">
          <a:off x="9810750" y="15430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238125</xdr:colOff>
      <xdr:row>6</xdr:row>
      <xdr:rowOff>38100</xdr:rowOff>
    </xdr:from>
    <xdr:to>
      <xdr:col>22</xdr:col>
      <xdr:colOff>209550</xdr:colOff>
      <xdr:row>8</xdr:row>
      <xdr:rowOff>95250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/>
        </xdr:cNvSpPr>
      </xdr:nvSpPr>
      <xdr:spPr bwMode="auto">
        <a:xfrm>
          <a:off x="10344150" y="1085850"/>
          <a:ext cx="4238625" cy="457200"/>
        </a:xfrm>
        <a:custGeom>
          <a:avLst/>
          <a:gdLst>
            <a:gd name="T0" fmla="*/ 0 w 2688"/>
            <a:gd name="T1" fmla="*/ 288 h 288"/>
            <a:gd name="T2" fmla="*/ 240 w 2688"/>
            <a:gd name="T3" fmla="*/ 144 h 288"/>
            <a:gd name="T4" fmla="*/ 576 w 2688"/>
            <a:gd name="T5" fmla="*/ 48 h 288"/>
            <a:gd name="T6" fmla="*/ 912 w 2688"/>
            <a:gd name="T7" fmla="*/ 0 h 288"/>
            <a:gd name="T8" fmla="*/ 1344 w 2688"/>
            <a:gd name="T9" fmla="*/ 0 h 288"/>
            <a:gd name="T10" fmla="*/ 1728 w 2688"/>
            <a:gd name="T11" fmla="*/ 0 h 288"/>
            <a:gd name="T12" fmla="*/ 2016 w 2688"/>
            <a:gd name="T13" fmla="*/ 48 h 288"/>
            <a:gd name="T14" fmla="*/ 2352 w 2688"/>
            <a:gd name="T15" fmla="*/ 144 h 288"/>
            <a:gd name="T16" fmla="*/ 2448 w 2688"/>
            <a:gd name="T17" fmla="*/ 192 h 288"/>
            <a:gd name="T18" fmla="*/ 2688 w 2688"/>
            <a:gd name="T19" fmla="*/ 288 h 288"/>
            <a:gd name="T20" fmla="*/ 0 w 2688"/>
            <a:gd name="T21" fmla="*/ 288 h 2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2688" h="2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504825</xdr:colOff>
      <xdr:row>6</xdr:row>
      <xdr:rowOff>38100</xdr:rowOff>
    </xdr:from>
    <xdr:to>
      <xdr:col>16</xdr:col>
      <xdr:colOff>514350</xdr:colOff>
      <xdr:row>6</xdr:row>
      <xdr:rowOff>38100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 flipH="1">
          <a:off x="8782050" y="108585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12</xdr:row>
      <xdr:rowOff>38100</xdr:rowOff>
    </xdr:from>
    <xdr:to>
      <xdr:col>12</xdr:col>
      <xdr:colOff>504825</xdr:colOff>
      <xdr:row>15</xdr:row>
      <xdr:rowOff>142875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8782050" y="2343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6</xdr:row>
      <xdr:rowOff>38100</xdr:rowOff>
    </xdr:from>
    <xdr:to>
      <xdr:col>12</xdr:col>
      <xdr:colOff>504825</xdr:colOff>
      <xdr:row>7</xdr:row>
      <xdr:rowOff>190500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 flipV="1">
          <a:off x="8782050" y="1085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171450</xdr:colOff>
      <xdr:row>8</xdr:row>
      <xdr:rowOff>123825</xdr:rowOff>
    </xdr:from>
    <xdr:to>
      <xdr:col>17</xdr:col>
      <xdr:colOff>0</xdr:colOff>
      <xdr:row>15</xdr:row>
      <xdr:rowOff>190500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10277475" y="1571625"/>
          <a:ext cx="1047750" cy="158115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561975</xdr:colOff>
      <xdr:row>16</xdr:row>
      <xdr:rowOff>0</xdr:rowOff>
    </xdr:from>
    <xdr:to>
      <xdr:col>20</xdr:col>
      <xdr:colOff>352425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11277600" y="3162300"/>
          <a:ext cx="2228850" cy="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352425</xdr:colOff>
      <xdr:row>8</xdr:row>
      <xdr:rowOff>133350</xdr:rowOff>
    </xdr:from>
    <xdr:to>
      <xdr:col>22</xdr:col>
      <xdr:colOff>219075</xdr:colOff>
      <xdr:row>16</xdr:row>
      <xdr:rowOff>9525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 flipH="1">
          <a:off x="13506450" y="1581150"/>
          <a:ext cx="1085850" cy="1590675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285750</xdr:colOff>
      <xdr:row>10</xdr:row>
      <xdr:rowOff>142875</xdr:rowOff>
    </xdr:from>
    <xdr:to>
      <xdr:col>19</xdr:col>
      <xdr:colOff>495339</xdr:colOff>
      <xdr:row>13</xdr:row>
      <xdr:rowOff>108898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1610975" y="1990725"/>
          <a:ext cx="1428789" cy="623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Falközi siló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S43"/>
  <sheetViews>
    <sheetView tabSelected="1" zoomScale="70" zoomScaleNormal="70" workbookViewId="0">
      <selection activeCell="H39" sqref="H39"/>
    </sheetView>
  </sheetViews>
  <sheetFormatPr defaultColWidth="11.453125" defaultRowHeight="12.5" x14ac:dyDescent="0.25"/>
  <cols>
    <col min="1" max="3" width="11.453125" style="1" customWidth="1"/>
    <col min="4" max="4" width="10.7265625" style="1" customWidth="1"/>
    <col min="5" max="5" width="22.7265625" style="1" customWidth="1"/>
    <col min="6" max="6" width="11.453125" style="1" customWidth="1"/>
    <col min="7" max="7" width="4.7265625" style="1" customWidth="1"/>
    <col min="8" max="8" width="51.81640625" style="1" customWidth="1"/>
    <col min="9" max="9" width="18.453125" style="1" customWidth="1"/>
    <col min="10" max="10" width="14.7265625" style="1" customWidth="1"/>
    <col min="11" max="11" width="9.453125" style="1" bestFit="1" customWidth="1"/>
    <col min="12" max="16384" width="11.453125" style="1"/>
  </cols>
  <sheetData>
    <row r="1" spans="1:10" ht="15.5" x14ac:dyDescent="0.35">
      <c r="H1" s="5" t="s">
        <v>22</v>
      </c>
    </row>
    <row r="2" spans="1:10" ht="15.5" x14ac:dyDescent="0.35">
      <c r="H2" s="5" t="s">
        <v>24</v>
      </c>
    </row>
    <row r="3" spans="1:10" ht="13" x14ac:dyDescent="0.3">
      <c r="H3" s="2" t="s">
        <v>13</v>
      </c>
    </row>
    <row r="4" spans="1:10" ht="13" x14ac:dyDescent="0.3">
      <c r="H4" s="2" t="s">
        <v>32</v>
      </c>
    </row>
    <row r="5" spans="1:10" ht="13" x14ac:dyDescent="0.3">
      <c r="H5" s="2" t="s">
        <v>31</v>
      </c>
    </row>
    <row r="6" spans="1:10" ht="13" x14ac:dyDescent="0.3">
      <c r="H6" s="2" t="s">
        <v>0</v>
      </c>
    </row>
    <row r="7" spans="1:10" ht="15.5" x14ac:dyDescent="0.35">
      <c r="A7" s="6" t="s">
        <v>65</v>
      </c>
      <c r="B7" s="6"/>
      <c r="C7" s="6"/>
      <c r="D7" s="6"/>
      <c r="E7" s="6"/>
      <c r="F7" s="49">
        <v>12</v>
      </c>
      <c r="H7" s="3">
        <v>39317</v>
      </c>
    </row>
    <row r="8" spans="1:10" ht="15.5" x14ac:dyDescent="0.35">
      <c r="A8" s="6"/>
      <c r="B8" s="6"/>
      <c r="C8" s="6"/>
      <c r="D8" s="6"/>
      <c r="E8" s="6"/>
      <c r="F8" s="6"/>
    </row>
    <row r="9" spans="1:10" ht="15.5" x14ac:dyDescent="0.35">
      <c r="A9" s="6" t="s">
        <v>7</v>
      </c>
      <c r="B9" s="6"/>
      <c r="C9" s="6"/>
      <c r="D9" s="6"/>
      <c r="E9" s="6"/>
      <c r="F9" s="49">
        <v>16</v>
      </c>
      <c r="H9" s="1" t="s">
        <v>9</v>
      </c>
    </row>
    <row r="10" spans="1:10" ht="15.5" x14ac:dyDescent="0.35">
      <c r="A10" s="6"/>
      <c r="B10" s="6"/>
      <c r="C10" s="6"/>
      <c r="D10" s="6"/>
      <c r="E10" s="6"/>
      <c r="F10" s="6"/>
    </row>
    <row r="11" spans="1:10" ht="15.5" x14ac:dyDescent="0.35">
      <c r="A11" s="6" t="s">
        <v>26</v>
      </c>
      <c r="B11" s="6"/>
      <c r="C11" s="6"/>
      <c r="D11" s="6"/>
      <c r="E11" s="6"/>
      <c r="F11" s="49">
        <v>160</v>
      </c>
      <c r="H11" s="1" t="s">
        <v>29</v>
      </c>
    </row>
    <row r="12" spans="1:10" ht="20" x14ac:dyDescent="0.4">
      <c r="A12" s="6"/>
      <c r="B12" s="6"/>
      <c r="C12" s="6"/>
      <c r="D12" s="6"/>
      <c r="E12" s="6"/>
      <c r="F12" s="6"/>
      <c r="I12" s="42">
        <f>+F9</f>
        <v>16</v>
      </c>
    </row>
    <row r="13" spans="1:10" ht="15.5" x14ac:dyDescent="0.35">
      <c r="A13" s="6" t="s">
        <v>25</v>
      </c>
      <c r="B13" s="6"/>
      <c r="C13" s="6"/>
      <c r="D13" s="6"/>
      <c r="E13" s="6"/>
      <c r="F13" s="49">
        <v>0.35</v>
      </c>
      <c r="H13" s="11" t="s">
        <v>28</v>
      </c>
    </row>
    <row r="14" spans="1:10" ht="20" x14ac:dyDescent="0.4">
      <c r="B14" s="6"/>
      <c r="C14" s="6"/>
      <c r="D14" s="6"/>
      <c r="E14" s="6"/>
      <c r="F14" s="12" t="str">
        <f>+IF(F13&gt;1,"F13 must be less than 1"," ")</f>
        <v xml:space="preserve"> </v>
      </c>
      <c r="J14" s="42">
        <f>+F7</f>
        <v>12</v>
      </c>
    </row>
    <row r="15" spans="1:10" ht="15.5" x14ac:dyDescent="0.35">
      <c r="A15" s="6" t="s">
        <v>1</v>
      </c>
      <c r="B15" s="6"/>
      <c r="C15" s="6"/>
      <c r="D15" s="6"/>
      <c r="E15" s="6"/>
      <c r="F15" s="49">
        <v>6</v>
      </c>
      <c r="H15" s="1" t="s">
        <v>39</v>
      </c>
    </row>
    <row r="16" spans="1:10" ht="15.5" x14ac:dyDescent="0.35">
      <c r="A16" s="6"/>
      <c r="B16" s="6"/>
      <c r="C16" s="6"/>
      <c r="D16" s="6"/>
      <c r="E16" s="6"/>
      <c r="F16" s="12" t="str">
        <f>+IF(F15&gt;24,"Consider a thinner layer in cell F15", " ")</f>
        <v xml:space="preserve"> </v>
      </c>
    </row>
    <row r="17" spans="1:19" ht="15.5" x14ac:dyDescent="0.35">
      <c r="A17" s="6" t="s">
        <v>12</v>
      </c>
      <c r="B17" s="6"/>
      <c r="C17" s="6"/>
      <c r="D17" s="6"/>
      <c r="E17" s="6" t="s">
        <v>11</v>
      </c>
      <c r="F17" s="6"/>
      <c r="H17" s="6" t="s">
        <v>14</v>
      </c>
    </row>
    <row r="18" spans="1:19" ht="15.5" x14ac:dyDescent="0.35">
      <c r="A18" s="7" t="s">
        <v>40</v>
      </c>
      <c r="B18" s="6"/>
      <c r="C18" s="6"/>
      <c r="D18" s="6"/>
      <c r="E18" s="6"/>
      <c r="F18" s="6"/>
      <c r="H18" s="6"/>
      <c r="I18" s="16"/>
      <c r="J18" s="16"/>
      <c r="K18" s="16"/>
      <c r="L18" s="16"/>
      <c r="M18" s="16"/>
      <c r="N18" s="16"/>
      <c r="O18" s="16"/>
    </row>
    <row r="19" spans="1:19" ht="15.5" x14ac:dyDescent="0.35">
      <c r="A19" s="6" t="s">
        <v>2</v>
      </c>
      <c r="B19" s="6"/>
      <c r="C19" s="13" t="s">
        <v>37</v>
      </c>
      <c r="D19" s="6"/>
      <c r="E19" s="6"/>
      <c r="F19" s="53">
        <v>40000</v>
      </c>
      <c r="G19" s="132">
        <f>IF(F19&gt;0,H19,0)</f>
        <v>100</v>
      </c>
      <c r="H19" s="208">
        <v>100</v>
      </c>
      <c r="I19" s="39" t="str">
        <f>IF(AND(F19&gt;0,H19&lt;1), "Error in Cell F19 or H19", IF(AND(F19&lt;1,H19&gt;0),"Error in Cell F19 or H19"," "))</f>
        <v xml:space="preserve"> </v>
      </c>
      <c r="J19" s="16"/>
      <c r="K19" s="16"/>
      <c r="L19" s="16"/>
      <c r="M19" s="16"/>
      <c r="N19" s="16"/>
      <c r="O19" s="16"/>
    </row>
    <row r="20" spans="1:19" ht="15.5" x14ac:dyDescent="0.35">
      <c r="A20" s="6" t="s">
        <v>3</v>
      </c>
      <c r="B20" s="6"/>
      <c r="C20" s="13" t="s">
        <v>37</v>
      </c>
      <c r="D20" s="6"/>
      <c r="E20" s="6"/>
      <c r="F20" s="53">
        <v>40000</v>
      </c>
      <c r="G20" s="132">
        <f>IF(F20&gt;0,H20,0)</f>
        <v>100</v>
      </c>
      <c r="H20" s="208">
        <v>100</v>
      </c>
      <c r="I20" s="39" t="str">
        <f>IF(AND(F20&gt;0,H20&lt;1), "Error in Cell F20 or H20", IF(AND(F20&lt;1,H20&gt;0),"Error in Cell F20 or H20"," "))</f>
        <v xml:space="preserve"> </v>
      </c>
      <c r="J20" s="16"/>
      <c r="K20" s="16"/>
      <c r="L20" s="16"/>
      <c r="M20" s="16"/>
      <c r="N20" s="16"/>
      <c r="O20" s="16"/>
    </row>
    <row r="21" spans="1:19" ht="15.5" x14ac:dyDescent="0.35">
      <c r="A21" s="6" t="s">
        <v>4</v>
      </c>
      <c r="B21" s="6"/>
      <c r="C21" s="13" t="s">
        <v>37</v>
      </c>
      <c r="D21" s="6"/>
      <c r="E21" s="6"/>
      <c r="F21" s="53"/>
      <c r="G21" s="132">
        <f>IF(F21&gt;0,H21,0)</f>
        <v>0</v>
      </c>
      <c r="H21" s="208"/>
      <c r="I21" s="39" t="str">
        <f>IF(AND(F21&gt;0,H21&lt;1), "Error in Cell F21 or H21", IF(AND(F21&lt;1,H21&gt;0),"Error in Cell F21 or H21"," "))</f>
        <v xml:space="preserve"> </v>
      </c>
      <c r="J21" s="16"/>
      <c r="K21" s="16"/>
      <c r="L21" s="16"/>
      <c r="M21" s="16"/>
      <c r="N21" s="16"/>
      <c r="O21" s="16"/>
    </row>
    <row r="22" spans="1:19" ht="15.5" x14ac:dyDescent="0.35">
      <c r="A22" s="6" t="s">
        <v>5</v>
      </c>
      <c r="B22" s="6"/>
      <c r="C22" s="13" t="s">
        <v>37</v>
      </c>
      <c r="D22" s="6"/>
      <c r="E22" s="6"/>
      <c r="F22" s="53"/>
      <c r="G22" s="132">
        <f>IF(F22&gt;0,H22,0)</f>
        <v>0</v>
      </c>
      <c r="H22" s="208"/>
      <c r="I22" s="39" t="str">
        <f>IF(AND(F22&gt;0,H22&lt;1), "Error in Cell F22 or H22", IF(AND(F22&lt;1,H22&gt;0),"Error in Cell F22 or H22"," "))</f>
        <v xml:space="preserve"> </v>
      </c>
      <c r="J22" s="16"/>
      <c r="K22" s="16"/>
      <c r="L22" s="16"/>
      <c r="M22" s="16"/>
      <c r="N22" s="16"/>
      <c r="O22" s="16"/>
    </row>
    <row r="23" spans="1:19" ht="15.5" x14ac:dyDescent="0.35">
      <c r="A23" s="6" t="s">
        <v>34</v>
      </c>
      <c r="C23" s="6"/>
      <c r="D23" s="6"/>
      <c r="E23" s="6"/>
      <c r="F23" s="205">
        <f>+F19*H19/100 +F20*H20/100+F21*H21/100+F22*H22/100</f>
        <v>80000</v>
      </c>
      <c r="I23" s="16"/>
      <c r="J23" s="16"/>
      <c r="K23" s="16"/>
      <c r="L23" s="16"/>
      <c r="M23" s="15"/>
      <c r="N23" s="15"/>
      <c r="O23" s="16"/>
    </row>
    <row r="24" spans="1:19" ht="15.5" x14ac:dyDescent="0.35">
      <c r="A24" s="6" t="s">
        <v>8</v>
      </c>
      <c r="B24" s="6"/>
      <c r="C24" s="6"/>
      <c r="D24" s="6"/>
      <c r="E24" s="6"/>
      <c r="F24" s="206">
        <f>+(+F7+F9)/2</f>
        <v>14</v>
      </c>
      <c r="H24" s="47" t="s">
        <v>15</v>
      </c>
      <c r="J24" s="16"/>
      <c r="K24" s="16"/>
      <c r="L24" s="16"/>
      <c r="M24" s="16"/>
      <c r="N24" s="16"/>
      <c r="O24" s="16"/>
    </row>
    <row r="25" spans="1:19" ht="15.5" x14ac:dyDescent="0.35">
      <c r="A25" s="6"/>
      <c r="B25" s="6"/>
      <c r="C25" s="6"/>
      <c r="D25" s="6"/>
      <c r="E25" s="6"/>
      <c r="F25" s="48"/>
      <c r="I25" s="15"/>
      <c r="J25" s="16"/>
      <c r="K25" s="16"/>
      <c r="L25" s="16"/>
      <c r="M25" s="16"/>
      <c r="N25" s="54"/>
      <c r="O25" s="16"/>
    </row>
    <row r="26" spans="1:19" ht="15.5" x14ac:dyDescent="0.35">
      <c r="B26" s="6"/>
      <c r="C26" s="6"/>
      <c r="D26" s="6"/>
      <c r="E26" s="6"/>
      <c r="I26" s="19"/>
      <c r="J26" s="16"/>
      <c r="K26" s="16"/>
      <c r="L26" s="16"/>
      <c r="M26" s="16"/>
      <c r="N26" s="55"/>
      <c r="O26" s="16"/>
    </row>
    <row r="27" spans="1:19" ht="15.5" x14ac:dyDescent="0.35">
      <c r="A27" s="7" t="s">
        <v>68</v>
      </c>
      <c r="B27" s="6"/>
      <c r="C27" s="6"/>
      <c r="D27" s="6"/>
      <c r="E27" s="6"/>
      <c r="F27" s="6"/>
      <c r="J27" s="16"/>
      <c r="K27" s="16"/>
      <c r="L27" s="16"/>
      <c r="M27" s="16"/>
      <c r="N27" s="55"/>
      <c r="O27" s="16"/>
    </row>
    <row r="28" spans="1:19" ht="15.5" x14ac:dyDescent="0.35">
      <c r="D28" s="8" t="s">
        <v>6</v>
      </c>
      <c r="E28" s="8"/>
      <c r="F28" s="195">
        <f>+(($F$19*$G$19+$F$20*$G$20+$F$21*$G$21+$F$22*$G$22)/IF(SUM($G$19:$G$22),SUM($G$19:$G$22),1)/$F$15)*($F$13*SUM($G$19:$G$22)/$F$11/100)^0.5</f>
        <v>440.95855184409851</v>
      </c>
      <c r="H28" s="10" t="s">
        <v>10</v>
      </c>
    </row>
    <row r="29" spans="1:19" ht="15.5" x14ac:dyDescent="0.35">
      <c r="A29" s="8" t="s">
        <v>69</v>
      </c>
      <c r="B29" s="10"/>
      <c r="C29" s="10"/>
      <c r="D29" s="10"/>
      <c r="E29" s="10"/>
      <c r="F29" s="38">
        <f>F35/F13</f>
        <v>44.181915305810371</v>
      </c>
      <c r="H29" s="4" t="s">
        <v>72</v>
      </c>
    </row>
    <row r="30" spans="1:19" ht="15.5" x14ac:dyDescent="0.35">
      <c r="A30" s="8" t="s">
        <v>70</v>
      </c>
      <c r="B30" s="10"/>
      <c r="C30" s="10"/>
      <c r="D30" s="10"/>
      <c r="E30" s="10"/>
      <c r="F30" s="38">
        <f>F13*93.6 +(1-F13)*62.4</f>
        <v>73.319999999999993</v>
      </c>
      <c r="H30" s="4" t="s">
        <v>74</v>
      </c>
      <c r="I30" s="2"/>
      <c r="J30" s="122"/>
      <c r="K30" s="122"/>
      <c r="L30" s="123"/>
      <c r="M30" s="122"/>
      <c r="N30" s="122"/>
      <c r="O30" s="11"/>
      <c r="P30" s="11"/>
      <c r="Q30" s="11"/>
      <c r="R30" s="11"/>
      <c r="S30" s="11"/>
    </row>
    <row r="31" spans="1:19" x14ac:dyDescent="0.25">
      <c r="J31" s="122"/>
      <c r="K31" s="122"/>
      <c r="L31" s="122"/>
      <c r="M31" s="122"/>
      <c r="N31" s="122"/>
      <c r="O31" s="11"/>
      <c r="P31" s="11"/>
      <c r="Q31" s="11"/>
      <c r="R31" s="11"/>
      <c r="S31" s="11"/>
    </row>
    <row r="32" spans="1:19" ht="15.5" x14ac:dyDescent="0.35">
      <c r="B32" s="16"/>
      <c r="C32" s="16"/>
      <c r="D32" s="16"/>
      <c r="E32" s="8" t="s">
        <v>75</v>
      </c>
      <c r="F32" s="52">
        <f>1-(F29/F30)</f>
        <v>0.39740977487983664</v>
      </c>
      <c r="H32" s="4" t="s">
        <v>76</v>
      </c>
      <c r="J32" s="122"/>
      <c r="K32" s="145"/>
      <c r="L32" s="15"/>
      <c r="M32" s="15"/>
      <c r="N32" s="15"/>
      <c r="O32" s="11"/>
      <c r="P32" s="15"/>
      <c r="Q32" s="11"/>
      <c r="R32" s="11"/>
      <c r="S32" s="11"/>
    </row>
    <row r="33" spans="1:19" ht="15.5" x14ac:dyDescent="0.35">
      <c r="J33" s="122"/>
      <c r="K33" s="15"/>
      <c r="L33" s="145"/>
      <c r="M33" s="15"/>
      <c r="N33" s="15"/>
      <c r="O33" s="11"/>
      <c r="P33" s="11"/>
      <c r="Q33" s="11"/>
      <c r="R33" s="11"/>
      <c r="S33" s="11"/>
    </row>
    <row r="34" spans="1:19" ht="15.5" x14ac:dyDescent="0.35">
      <c r="J34" s="122"/>
      <c r="K34" s="15"/>
      <c r="L34" s="15"/>
      <c r="M34" s="145"/>
      <c r="N34" s="15"/>
      <c r="O34" s="11"/>
      <c r="P34" s="11"/>
      <c r="Q34" s="11"/>
      <c r="R34" s="11"/>
      <c r="S34" s="11"/>
    </row>
    <row r="35" spans="1:19" ht="15.5" x14ac:dyDescent="0.35">
      <c r="A35" s="8" t="s">
        <v>16</v>
      </c>
      <c r="B35" s="8"/>
      <c r="C35" s="8"/>
      <c r="D35" s="8"/>
      <c r="E35" s="8"/>
      <c r="F35" s="38">
        <f>+IF(F36&lt;F37,F36,F37)</f>
        <v>15.463670357033628</v>
      </c>
      <c r="H35" s="4" t="s">
        <v>71</v>
      </c>
      <c r="J35" s="122"/>
      <c r="K35" s="15"/>
      <c r="L35" s="15"/>
      <c r="M35" s="15"/>
      <c r="N35" s="145"/>
      <c r="O35" s="11"/>
      <c r="P35" s="11"/>
      <c r="Q35" s="11"/>
      <c r="R35" s="11"/>
      <c r="S35" s="11"/>
    </row>
    <row r="36" spans="1:19" ht="15.5" x14ac:dyDescent="0.35">
      <c r="A36" s="8" t="s">
        <v>35</v>
      </c>
      <c r="B36" s="10"/>
      <c r="C36" s="10"/>
      <c r="D36" s="10"/>
      <c r="E36" s="10"/>
      <c r="F36" s="38">
        <f>+F13*(F13*93.6+(1-F13)*62.4)</f>
        <v>25.661999999999995</v>
      </c>
      <c r="H36" s="4" t="s">
        <v>73</v>
      </c>
      <c r="J36" s="122"/>
      <c r="K36" s="122"/>
      <c r="L36" s="122"/>
      <c r="M36" s="122"/>
      <c r="N36" s="122"/>
      <c r="O36" s="11"/>
      <c r="P36" s="11"/>
      <c r="Q36" s="11"/>
      <c r="R36" s="11"/>
      <c r="S36" s="11"/>
    </row>
    <row r="37" spans="1:19" ht="13" x14ac:dyDescent="0.3">
      <c r="F37" s="204">
        <f>(+F28*0.0155 + 8.5)*(0.818+0.0136*F24)</f>
        <v>15.463670357033628</v>
      </c>
      <c r="J37" s="124"/>
      <c r="K37" s="122"/>
      <c r="L37" s="122"/>
      <c r="M37" s="122"/>
      <c r="N37" s="122"/>
      <c r="O37" s="11"/>
      <c r="P37" s="11"/>
      <c r="Q37" s="11"/>
      <c r="R37" s="11"/>
      <c r="S37" s="11"/>
    </row>
    <row r="38" spans="1:19" x14ac:dyDescent="0.25"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5.5" x14ac:dyDescent="0.35">
      <c r="A40" s="6"/>
      <c r="B40" s="6"/>
      <c r="C40" s="6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5"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3" x14ac:dyDescent="0.3">
      <c r="A43" s="9" t="str">
        <f>+IF(F35=F36,"Estimated DM Density controlled by Maximum Achievable Density","")</f>
        <v/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N37"/>
  <sheetViews>
    <sheetView zoomScale="70" zoomScaleNormal="70" workbookViewId="0">
      <selection activeCell="H39" sqref="H39"/>
    </sheetView>
  </sheetViews>
  <sheetFormatPr defaultColWidth="8.81640625" defaultRowHeight="12.5" x14ac:dyDescent="0.25"/>
  <cols>
    <col min="1" max="4" width="8.81640625" customWidth="1"/>
    <col min="5" max="5" width="22.7265625" customWidth="1"/>
    <col min="6" max="6" width="8.81640625" customWidth="1"/>
    <col min="7" max="7" width="3" customWidth="1"/>
    <col min="8" max="8" width="54.7265625" customWidth="1"/>
    <col min="9" max="9" width="17.1796875" customWidth="1"/>
    <col min="10" max="10" width="13.54296875" customWidth="1"/>
    <col min="11" max="11" width="16.453125" customWidth="1"/>
    <col min="12" max="12" width="9.453125" bestFit="1" customWidth="1"/>
  </cols>
  <sheetData>
    <row r="1" spans="1:11" ht="15.5" x14ac:dyDescent="0.35">
      <c r="A1" s="1"/>
      <c r="B1" s="1"/>
      <c r="C1" s="1"/>
      <c r="D1" s="1"/>
      <c r="E1" s="1"/>
      <c r="F1" s="1"/>
      <c r="G1" s="1"/>
      <c r="H1" s="5" t="s">
        <v>22</v>
      </c>
      <c r="I1" s="1"/>
    </row>
    <row r="2" spans="1:11" ht="15.5" x14ac:dyDescent="0.35">
      <c r="A2" s="1"/>
      <c r="B2" s="1"/>
      <c r="C2" s="1"/>
      <c r="D2" s="1"/>
      <c r="E2" s="1"/>
      <c r="F2" s="1"/>
      <c r="G2" s="1"/>
      <c r="H2" s="5" t="s">
        <v>23</v>
      </c>
      <c r="I2" s="1"/>
    </row>
    <row r="3" spans="1:11" ht="13" x14ac:dyDescent="0.3">
      <c r="A3" s="1"/>
      <c r="B3" s="1"/>
      <c r="C3" s="1"/>
      <c r="D3" s="1"/>
      <c r="E3" s="1"/>
      <c r="F3" s="1"/>
      <c r="G3" s="1"/>
      <c r="H3" s="2" t="s">
        <v>13</v>
      </c>
      <c r="I3" s="1"/>
    </row>
    <row r="4" spans="1:11" ht="13" x14ac:dyDescent="0.3">
      <c r="A4" s="1"/>
      <c r="B4" s="1"/>
      <c r="C4" s="1"/>
      <c r="D4" s="1"/>
      <c r="E4" s="1"/>
      <c r="F4" s="1"/>
      <c r="G4" s="1"/>
      <c r="H4" s="2" t="s">
        <v>32</v>
      </c>
      <c r="I4" s="1"/>
    </row>
    <row r="5" spans="1:11" ht="13" x14ac:dyDescent="0.3">
      <c r="A5" s="1"/>
      <c r="B5" s="1"/>
      <c r="C5" s="1"/>
      <c r="D5" s="1"/>
      <c r="E5" s="1"/>
      <c r="F5" s="1"/>
      <c r="G5" s="1"/>
      <c r="H5" s="2" t="s">
        <v>31</v>
      </c>
      <c r="I5" s="1"/>
    </row>
    <row r="6" spans="1:11" ht="13" x14ac:dyDescent="0.3">
      <c r="A6" s="1"/>
      <c r="B6" s="1"/>
      <c r="C6" s="1"/>
      <c r="D6" s="1"/>
      <c r="E6" s="1"/>
      <c r="F6" s="1"/>
      <c r="G6" s="1"/>
      <c r="H6" s="2" t="s">
        <v>0</v>
      </c>
      <c r="I6" s="1"/>
    </row>
    <row r="7" spans="1:11" ht="15.5" x14ac:dyDescent="0.35">
      <c r="A7" s="6" t="s">
        <v>66</v>
      </c>
      <c r="B7" s="6"/>
      <c r="C7" s="6"/>
      <c r="D7" s="6"/>
      <c r="E7" s="6"/>
      <c r="F7" s="49">
        <v>3.66</v>
      </c>
      <c r="G7" s="1"/>
      <c r="H7" s="3">
        <v>39317</v>
      </c>
      <c r="I7" s="1"/>
    </row>
    <row r="8" spans="1:11" ht="15.5" x14ac:dyDescent="0.35">
      <c r="A8" s="6"/>
      <c r="B8" s="6"/>
      <c r="C8" s="6"/>
      <c r="D8" s="6"/>
      <c r="E8" s="6"/>
      <c r="F8" s="6"/>
      <c r="G8" s="1"/>
      <c r="H8" s="1"/>
      <c r="I8" s="1"/>
    </row>
    <row r="9" spans="1:11" ht="15.5" x14ac:dyDescent="0.35">
      <c r="A9" s="6" t="s">
        <v>17</v>
      </c>
      <c r="B9" s="6"/>
      <c r="C9" s="6"/>
      <c r="D9" s="6"/>
      <c r="E9" s="6"/>
      <c r="F9" s="49">
        <v>4.88</v>
      </c>
      <c r="G9" s="1"/>
      <c r="H9" s="1" t="s">
        <v>9</v>
      </c>
      <c r="I9" s="1"/>
    </row>
    <row r="10" spans="1:11" ht="15.5" x14ac:dyDescent="0.35">
      <c r="A10" s="6"/>
      <c r="B10" s="6"/>
      <c r="C10" s="6"/>
      <c r="D10" s="6"/>
      <c r="E10" s="6"/>
      <c r="F10" s="6"/>
      <c r="G10" s="1"/>
      <c r="H10" s="1"/>
      <c r="I10" s="1"/>
    </row>
    <row r="11" spans="1:11" ht="15.5" x14ac:dyDescent="0.35">
      <c r="A11" s="6" t="s">
        <v>27</v>
      </c>
      <c r="B11" s="6"/>
      <c r="C11" s="6"/>
      <c r="D11" s="6"/>
      <c r="E11" s="6"/>
      <c r="F11" s="49">
        <v>145.1</v>
      </c>
      <c r="G11" s="1"/>
      <c r="H11" s="1" t="s">
        <v>30</v>
      </c>
      <c r="I11" s="1"/>
    </row>
    <row r="12" spans="1:11" ht="20" x14ac:dyDescent="0.4">
      <c r="A12" s="6"/>
      <c r="B12" s="6"/>
      <c r="C12" s="6"/>
      <c r="D12" s="6"/>
      <c r="E12" s="6"/>
      <c r="F12" s="6"/>
      <c r="G12" s="1"/>
      <c r="H12" s="1"/>
      <c r="I12" s="1"/>
      <c r="J12" s="43">
        <f>+F9</f>
        <v>4.88</v>
      </c>
    </row>
    <row r="13" spans="1:11" ht="15.5" x14ac:dyDescent="0.35">
      <c r="A13" s="6" t="s">
        <v>25</v>
      </c>
      <c r="B13" s="6"/>
      <c r="C13" s="6"/>
      <c r="D13" s="6"/>
      <c r="E13" s="6"/>
      <c r="F13" s="49">
        <v>0.35</v>
      </c>
      <c r="G13" s="1"/>
      <c r="H13" s="11" t="s">
        <v>28</v>
      </c>
      <c r="I13" s="1"/>
    </row>
    <row r="14" spans="1:11" ht="20" x14ac:dyDescent="0.4">
      <c r="B14" s="6"/>
      <c r="C14" s="6"/>
      <c r="D14" s="6"/>
      <c r="E14" s="6"/>
      <c r="F14" s="12" t="str">
        <f>+IF(F13&gt;1,"F13 must be less than 1"," ")</f>
        <v xml:space="preserve"> </v>
      </c>
      <c r="G14" s="1"/>
      <c r="H14" s="1"/>
      <c r="I14" s="1"/>
      <c r="K14" s="43">
        <f>+F7</f>
        <v>3.66</v>
      </c>
    </row>
    <row r="15" spans="1:11" ht="15.5" x14ac:dyDescent="0.35">
      <c r="A15" s="6" t="s">
        <v>21</v>
      </c>
      <c r="B15" s="6"/>
      <c r="C15" s="6"/>
      <c r="D15" s="6"/>
      <c r="E15" s="6"/>
      <c r="F15" s="49">
        <v>15.24</v>
      </c>
      <c r="G15" s="1"/>
      <c r="H15" s="1" t="s">
        <v>38</v>
      </c>
      <c r="I15" s="1"/>
    </row>
    <row r="16" spans="1:11" ht="15.5" x14ac:dyDescent="0.35">
      <c r="A16" s="6"/>
      <c r="B16" s="6"/>
      <c r="C16" s="6"/>
      <c r="D16" s="6"/>
      <c r="E16" s="6"/>
      <c r="F16" s="12" t="str">
        <f>+IF(F15&gt;60,"Consider a thinner layer in cell F15", " ")</f>
        <v xml:space="preserve"> </v>
      </c>
      <c r="G16" s="1"/>
      <c r="H16" s="1"/>
      <c r="I16" s="1"/>
    </row>
    <row r="17" spans="1:14" ht="15.5" x14ac:dyDescent="0.35">
      <c r="A17" s="6" t="s">
        <v>12</v>
      </c>
      <c r="B17" s="6"/>
      <c r="C17" s="6"/>
      <c r="D17" s="6"/>
      <c r="E17" s="6" t="s">
        <v>18</v>
      </c>
      <c r="F17" s="6"/>
      <c r="G17" s="1"/>
      <c r="H17" s="6" t="s">
        <v>14</v>
      </c>
      <c r="I17" s="1"/>
    </row>
    <row r="18" spans="1:14" ht="15.5" x14ac:dyDescent="0.35">
      <c r="A18" s="7" t="s">
        <v>41</v>
      </c>
      <c r="B18" s="6"/>
      <c r="C18" s="6"/>
      <c r="D18" s="6"/>
      <c r="E18" s="6"/>
      <c r="F18" s="6"/>
      <c r="G18" s="1"/>
      <c r="H18" s="6"/>
      <c r="I18" s="16"/>
      <c r="K18" s="17"/>
      <c r="L18" s="17"/>
    </row>
    <row r="19" spans="1:14" ht="15.5" x14ac:dyDescent="0.35">
      <c r="A19" s="6" t="s">
        <v>2</v>
      </c>
      <c r="B19" s="6"/>
      <c r="C19" s="13" t="s">
        <v>42</v>
      </c>
      <c r="D19" s="6"/>
      <c r="E19" s="6"/>
      <c r="F19" s="50">
        <v>18144</v>
      </c>
      <c r="G19" s="132">
        <f>IF(F19&gt;0,H19,0)</f>
        <v>100</v>
      </c>
      <c r="H19" s="208">
        <v>100</v>
      </c>
      <c r="I19" s="39" t="str">
        <f>IF(AND(F19&gt;0,H19&lt;1), "Error in Cell F19 or H19", IF(AND(F19&lt;1,H19&gt;0),"Error in Cell F19 or H19"," "))</f>
        <v xml:space="preserve"> </v>
      </c>
      <c r="J19" s="15"/>
      <c r="K19" s="15"/>
      <c r="L19" s="15"/>
    </row>
    <row r="20" spans="1:14" ht="15.5" x14ac:dyDescent="0.35">
      <c r="A20" s="6" t="s">
        <v>3</v>
      </c>
      <c r="B20" s="6"/>
      <c r="C20" s="13" t="s">
        <v>42</v>
      </c>
      <c r="D20" s="6"/>
      <c r="E20" s="6"/>
      <c r="F20" s="49">
        <v>18144</v>
      </c>
      <c r="G20" s="132">
        <f>IF(F20&gt;0,H20,0)</f>
        <v>100</v>
      </c>
      <c r="H20" s="208">
        <v>100</v>
      </c>
      <c r="I20" s="39" t="str">
        <f>IF(AND(F20&gt;0,H20&lt;1), "Error in Cell F20 or H20", IF(AND(F20&lt;1,H20&gt;0),"Error in Cell F20 or H20"," "))</f>
        <v xml:space="preserve"> </v>
      </c>
      <c r="J20" s="15"/>
      <c r="K20" s="15"/>
      <c r="L20" s="15"/>
      <c r="M20" s="17"/>
    </row>
    <row r="21" spans="1:14" ht="15.5" x14ac:dyDescent="0.35">
      <c r="A21" s="6" t="s">
        <v>4</v>
      </c>
      <c r="B21" s="6"/>
      <c r="C21" s="13" t="s">
        <v>42</v>
      </c>
      <c r="D21" s="6"/>
      <c r="E21" s="6"/>
      <c r="F21" s="51"/>
      <c r="G21" s="132">
        <f>IF(F21&gt;0,H21,0)</f>
        <v>0</v>
      </c>
      <c r="H21" s="208"/>
      <c r="I21" s="39" t="str">
        <f>IF(AND(F21&gt;0,H21&lt;1), "Error in Cell F21 or H21", IF(AND(F21&lt;1,H21&gt;0),"Error in Cell F21 or H21"," "))</f>
        <v xml:space="preserve"> </v>
      </c>
      <c r="J21" s="15"/>
      <c r="K21" s="15"/>
      <c r="L21" s="15"/>
      <c r="M21" s="17"/>
    </row>
    <row r="22" spans="1:14" ht="15.5" x14ac:dyDescent="0.35">
      <c r="A22" s="6" t="s">
        <v>5</v>
      </c>
      <c r="B22" s="6"/>
      <c r="C22" s="13" t="s">
        <v>42</v>
      </c>
      <c r="D22" s="6"/>
      <c r="E22" s="6"/>
      <c r="F22" s="49"/>
      <c r="G22" s="132">
        <f>IF(F22&gt;0,H22,0)</f>
        <v>0</v>
      </c>
      <c r="H22" s="208"/>
      <c r="I22" s="39" t="str">
        <f>IF(AND(F22&gt;0,H22&lt;1), "Error in Cell F22 or H22", IF(AND(F22&lt;1,H22&gt;0),"Error in Cell F22 or H22"," "))</f>
        <v xml:space="preserve"> </v>
      </c>
      <c r="J22" s="15"/>
      <c r="K22" s="15"/>
      <c r="L22" s="21"/>
      <c r="M22" s="17"/>
    </row>
    <row r="23" spans="1:14" ht="15.5" x14ac:dyDescent="0.35">
      <c r="A23" s="6" t="s">
        <v>33</v>
      </c>
      <c r="C23" s="6"/>
      <c r="D23" s="6"/>
      <c r="E23" s="6"/>
      <c r="F23" s="203">
        <f>+F19*H19/100 +F20*H20/100+F21*H21/100+F22*H22/100</f>
        <v>36288</v>
      </c>
      <c r="G23" s="1"/>
      <c r="H23" s="1"/>
      <c r="I23" s="16"/>
      <c r="J23" s="21"/>
      <c r="K23" s="15"/>
      <c r="L23" s="21"/>
      <c r="M23" s="17"/>
    </row>
    <row r="24" spans="1:14" ht="15.5" x14ac:dyDescent="0.35">
      <c r="A24" s="6" t="s">
        <v>19</v>
      </c>
      <c r="B24" s="6"/>
      <c r="C24" s="6"/>
      <c r="D24" s="6"/>
      <c r="E24" s="6"/>
      <c r="F24" s="201">
        <f>+(+F7+F9)/2</f>
        <v>4.2699999999999996</v>
      </c>
      <c r="G24" s="1"/>
      <c r="H24" s="47" t="s">
        <v>15</v>
      </c>
      <c r="I24" s="1"/>
      <c r="J24" s="21"/>
      <c r="K24" s="15"/>
      <c r="L24" s="21"/>
      <c r="M24" s="17"/>
    </row>
    <row r="25" spans="1:14" ht="15.5" x14ac:dyDescent="0.35">
      <c r="A25" s="6"/>
      <c r="B25" s="6"/>
      <c r="C25" s="6"/>
      <c r="D25" s="6"/>
      <c r="E25" s="6"/>
      <c r="F25" s="48"/>
      <c r="G25" s="1"/>
      <c r="I25" s="1"/>
      <c r="J25" s="21"/>
      <c r="K25" s="21"/>
      <c r="L25" s="21"/>
    </row>
    <row r="26" spans="1:14" x14ac:dyDescent="0.25">
      <c r="G26" s="1"/>
      <c r="H26" s="1"/>
      <c r="I26" s="1"/>
    </row>
    <row r="27" spans="1:14" ht="15.5" x14ac:dyDescent="0.35">
      <c r="A27" s="7" t="s">
        <v>68</v>
      </c>
      <c r="B27" s="6"/>
      <c r="C27" s="6"/>
      <c r="D27" s="6"/>
      <c r="E27" s="6"/>
      <c r="F27" s="6"/>
      <c r="G27" s="1"/>
      <c r="H27" s="1"/>
      <c r="I27" s="1"/>
    </row>
    <row r="28" spans="1:14" ht="15.5" x14ac:dyDescent="0.35">
      <c r="A28" s="6"/>
      <c r="B28" s="6"/>
      <c r="C28" s="6"/>
      <c r="D28" s="8" t="s">
        <v>6</v>
      </c>
      <c r="E28" s="8"/>
      <c r="F28" s="189">
        <f>+(($F$19*$G$19+$F$20*$G$20+$F$21*$G$21+$F$22*$G$22)/IF(SUM($G$19:$G$22),SUM($G$19:$G$22),1)/$F$15)*($F$13*10*SUM($G$19:$G$22)/$F$11)^0.5</f>
        <v>2614.9499685899414</v>
      </c>
      <c r="G28" s="1"/>
      <c r="H28" s="10" t="s">
        <v>10</v>
      </c>
      <c r="I28" s="1"/>
      <c r="K28" s="14"/>
      <c r="L28" s="21"/>
      <c r="M28" s="21"/>
      <c r="N28" s="21"/>
    </row>
    <row r="29" spans="1:14" ht="15.5" x14ac:dyDescent="0.35">
      <c r="A29" s="8" t="s">
        <v>78</v>
      </c>
      <c r="B29" s="10"/>
      <c r="C29" s="10"/>
      <c r="D29" s="10"/>
      <c r="E29" s="10"/>
      <c r="F29" s="38">
        <f>F35/F13</f>
        <v>709.15917257554474</v>
      </c>
      <c r="G29" s="1"/>
      <c r="H29" s="4" t="s">
        <v>80</v>
      </c>
      <c r="I29" s="16"/>
      <c r="J29" s="21"/>
      <c r="K29" s="21"/>
      <c r="L29" s="123"/>
    </row>
    <row r="30" spans="1:14" ht="15.5" x14ac:dyDescent="0.35">
      <c r="A30" s="8" t="s">
        <v>79</v>
      </c>
      <c r="B30" s="10"/>
      <c r="C30" s="10"/>
      <c r="D30" s="10"/>
      <c r="E30" s="10"/>
      <c r="F30" s="38">
        <f>F13*1499.47 +(1-F13)*999.65</f>
        <v>1174.587</v>
      </c>
      <c r="G30" s="1"/>
      <c r="H30" s="4" t="s">
        <v>74</v>
      </c>
      <c r="I30" s="22"/>
      <c r="J30" s="122"/>
      <c r="K30" s="127"/>
      <c r="L30" s="127"/>
      <c r="M30" s="127"/>
      <c r="N30" s="127"/>
    </row>
    <row r="31" spans="1:14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27"/>
      <c r="K31" s="128"/>
      <c r="L31" s="128"/>
      <c r="M31" s="128"/>
      <c r="N31" s="128"/>
    </row>
    <row r="32" spans="1:14" ht="15.5" x14ac:dyDescent="0.35">
      <c r="A32" s="1"/>
      <c r="B32" s="16"/>
      <c r="C32" s="16"/>
      <c r="D32" s="16"/>
      <c r="E32" s="8" t="s">
        <v>75</v>
      </c>
      <c r="F32" s="52">
        <f>1-(F29/F30)</f>
        <v>0.39624806627730025</v>
      </c>
      <c r="G32" s="1"/>
      <c r="H32" s="4" t="s">
        <v>76</v>
      </c>
      <c r="I32" s="1"/>
      <c r="J32" s="127"/>
      <c r="K32" s="128"/>
      <c r="L32" s="128"/>
      <c r="M32" s="128"/>
      <c r="N32" s="128"/>
    </row>
    <row r="33" spans="1:14" ht="15.5" x14ac:dyDescent="0.35">
      <c r="A33" s="1"/>
      <c r="B33" s="1"/>
      <c r="C33" s="1"/>
      <c r="D33" s="1"/>
      <c r="E33" s="1"/>
      <c r="G33" s="1"/>
      <c r="H33" s="1"/>
      <c r="I33" s="1"/>
      <c r="J33" s="127"/>
      <c r="K33" s="130"/>
      <c r="L33" s="128"/>
      <c r="M33" s="128"/>
      <c r="N33" s="128"/>
    </row>
    <row r="34" spans="1:14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27"/>
      <c r="K34" s="128"/>
      <c r="L34" s="128"/>
      <c r="M34" s="128"/>
      <c r="N34" s="128"/>
    </row>
    <row r="35" spans="1:14" ht="15.5" x14ac:dyDescent="0.35">
      <c r="A35" s="8" t="s">
        <v>20</v>
      </c>
      <c r="B35" s="8"/>
      <c r="C35" s="8"/>
      <c r="D35" s="8"/>
      <c r="E35" s="8"/>
      <c r="F35" s="38">
        <f>+IF(F36&lt;F37,F36,F37)</f>
        <v>248.20571040144063</v>
      </c>
      <c r="G35" s="1"/>
      <c r="H35" s="4" t="s">
        <v>77</v>
      </c>
      <c r="I35" s="1"/>
      <c r="J35" s="127"/>
      <c r="K35" s="127"/>
      <c r="L35" s="127"/>
      <c r="M35" s="127"/>
      <c r="N35" s="127"/>
    </row>
    <row r="36" spans="1:14" ht="15.5" x14ac:dyDescent="0.35">
      <c r="A36" s="8" t="s">
        <v>36</v>
      </c>
      <c r="B36" s="10"/>
      <c r="C36" s="10"/>
      <c r="D36" s="10"/>
      <c r="E36" s="10"/>
      <c r="F36" s="38">
        <f>+F13*(F13*1500 + (1-F13)*1000)</f>
        <v>411.25</v>
      </c>
      <c r="H36" s="4" t="s">
        <v>73</v>
      </c>
      <c r="J36" s="129"/>
      <c r="K36" s="127"/>
      <c r="L36" s="127"/>
      <c r="M36" s="127"/>
      <c r="N36" s="127"/>
    </row>
    <row r="37" spans="1:14" ht="13" x14ac:dyDescent="0.3">
      <c r="A37" s="9" t="str">
        <f>+IF(F35=F36,"Estimated DM Density controlled by Maximum Achievable Density","")</f>
        <v/>
      </c>
      <c r="B37" s="1"/>
      <c r="C37" s="1"/>
      <c r="D37" s="1"/>
      <c r="E37" s="1"/>
      <c r="F37" s="204">
        <f>(+F28*0.042 +136.3)*(0.818+0.0446*F24)</f>
        <v>248.20571040144063</v>
      </c>
      <c r="K37" s="122"/>
      <c r="L37" s="122"/>
      <c r="M37" s="122"/>
      <c r="N37" s="122"/>
    </row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0.39997558519241921"/>
  </sheetPr>
  <dimension ref="A1:R43"/>
  <sheetViews>
    <sheetView zoomScale="70" zoomScaleNormal="70" workbookViewId="0">
      <selection activeCell="H39" sqref="H39"/>
    </sheetView>
  </sheetViews>
  <sheetFormatPr defaultColWidth="11.453125" defaultRowHeight="12.5" x14ac:dyDescent="0.25"/>
  <cols>
    <col min="1" max="3" width="11.453125" style="1" customWidth="1"/>
    <col min="4" max="4" width="10.7265625" style="1" customWidth="1"/>
    <col min="5" max="5" width="43.81640625" style="1" customWidth="1"/>
    <col min="6" max="6" width="11.453125" style="1" customWidth="1"/>
    <col min="7" max="7" width="4.7265625" style="1" customWidth="1"/>
    <col min="8" max="8" width="61.81640625" style="1" customWidth="1"/>
    <col min="9" max="9" width="18.453125" style="1" customWidth="1"/>
    <col min="10" max="10" width="14.7265625" style="1" customWidth="1"/>
    <col min="11" max="11" width="9.453125" style="1" bestFit="1" customWidth="1"/>
    <col min="12" max="16384" width="11.453125" style="1"/>
  </cols>
  <sheetData>
    <row r="1" spans="1:10" ht="15.5" x14ac:dyDescent="0.35">
      <c r="H1" s="5" t="s">
        <v>92</v>
      </c>
    </row>
    <row r="2" spans="1:10" ht="15.5" x14ac:dyDescent="0.35">
      <c r="H2" s="5" t="s">
        <v>93</v>
      </c>
    </row>
    <row r="3" spans="1:10" ht="13" x14ac:dyDescent="0.3">
      <c r="H3" s="2" t="s">
        <v>13</v>
      </c>
    </row>
    <row r="4" spans="1:10" ht="13" x14ac:dyDescent="0.3">
      <c r="H4" s="2" t="s">
        <v>32</v>
      </c>
    </row>
    <row r="5" spans="1:10" ht="13" x14ac:dyDescent="0.3">
      <c r="H5" s="2" t="s">
        <v>31</v>
      </c>
    </row>
    <row r="6" spans="1:10" ht="13" x14ac:dyDescent="0.3">
      <c r="H6" s="2" t="s">
        <v>0</v>
      </c>
    </row>
    <row r="7" spans="1:10" ht="15.5" x14ac:dyDescent="0.35">
      <c r="A7" s="69" t="s">
        <v>94</v>
      </c>
      <c r="B7" s="69"/>
      <c r="C7" s="69"/>
      <c r="D7" s="69"/>
      <c r="E7" s="69"/>
      <c r="F7" s="70">
        <v>12</v>
      </c>
      <c r="H7" s="3">
        <v>39317</v>
      </c>
    </row>
    <row r="8" spans="1:10" ht="15.5" x14ac:dyDescent="0.35">
      <c r="A8" s="69"/>
      <c r="B8" s="69"/>
      <c r="C8" s="69"/>
      <c r="D8" s="69"/>
      <c r="E8" s="69"/>
      <c r="F8" s="69"/>
    </row>
    <row r="9" spans="1:10" ht="15.5" x14ac:dyDescent="0.35">
      <c r="A9" s="69" t="s">
        <v>95</v>
      </c>
      <c r="B9" s="69"/>
      <c r="C9" s="69"/>
      <c r="D9" s="69"/>
      <c r="E9" s="69"/>
      <c r="F9" s="70">
        <v>16</v>
      </c>
      <c r="H9" s="80" t="s">
        <v>96</v>
      </c>
    </row>
    <row r="10" spans="1:10" ht="15.5" x14ac:dyDescent="0.35">
      <c r="A10" s="69"/>
      <c r="B10" s="69"/>
      <c r="C10" s="69"/>
      <c r="D10" s="69"/>
      <c r="E10" s="69"/>
      <c r="F10" s="69"/>
    </row>
    <row r="11" spans="1:10" ht="15.5" x14ac:dyDescent="0.35">
      <c r="A11" s="69" t="s">
        <v>97</v>
      </c>
      <c r="B11" s="69"/>
      <c r="C11" s="69"/>
      <c r="D11" s="69"/>
      <c r="E11" s="69"/>
      <c r="F11" s="70">
        <v>160</v>
      </c>
      <c r="H11" s="1" t="s">
        <v>98</v>
      </c>
    </row>
    <row r="12" spans="1:10" ht="20" x14ac:dyDescent="0.4">
      <c r="A12" s="69"/>
      <c r="B12" s="69"/>
      <c r="C12" s="69"/>
      <c r="D12" s="69"/>
      <c r="E12" s="69"/>
      <c r="F12" s="69"/>
      <c r="I12" s="42">
        <f>+F9</f>
        <v>16</v>
      </c>
    </row>
    <row r="13" spans="1:10" ht="15.5" x14ac:dyDescent="0.35">
      <c r="A13" s="69" t="s">
        <v>99</v>
      </c>
      <c r="B13" s="69"/>
      <c r="C13" s="69"/>
      <c r="D13" s="69"/>
      <c r="E13" s="69"/>
      <c r="F13" s="70">
        <v>0.35</v>
      </c>
      <c r="H13" s="71" t="s">
        <v>100</v>
      </c>
    </row>
    <row r="14" spans="1:10" ht="20" x14ac:dyDescent="0.4">
      <c r="B14" s="69"/>
      <c r="C14" s="69"/>
      <c r="D14" s="69"/>
      <c r="E14" s="69"/>
      <c r="F14" s="12" t="str">
        <f>+IF(F13&gt;1,"F13 must be less than 1"," ")</f>
        <v xml:space="preserve"> </v>
      </c>
      <c r="J14" s="42">
        <f>+F7</f>
        <v>12</v>
      </c>
    </row>
    <row r="15" spans="1:10" ht="15.5" x14ac:dyDescent="0.35">
      <c r="A15" s="69" t="s">
        <v>101</v>
      </c>
      <c r="B15" s="69"/>
      <c r="C15" s="69"/>
      <c r="D15" s="69"/>
      <c r="E15" s="69"/>
      <c r="F15" s="70">
        <v>6</v>
      </c>
      <c r="H15" s="1" t="s">
        <v>102</v>
      </c>
    </row>
    <row r="16" spans="1:10" ht="15.5" x14ac:dyDescent="0.35">
      <c r="A16" s="69"/>
      <c r="B16" s="69"/>
      <c r="C16" s="69"/>
      <c r="D16" s="69"/>
      <c r="E16" s="69"/>
      <c r="F16" s="12" t="str">
        <f>+IF(F15&gt;24,"Consider a thinner layer in cell F15", " ")</f>
        <v xml:space="preserve"> </v>
      </c>
    </row>
    <row r="17" spans="1:18" ht="15.5" x14ac:dyDescent="0.35">
      <c r="A17" s="69" t="s">
        <v>103</v>
      </c>
      <c r="B17" s="69"/>
      <c r="C17" s="69"/>
      <c r="D17" s="69"/>
      <c r="E17" s="6" t="s">
        <v>191</v>
      </c>
      <c r="F17" s="69"/>
      <c r="H17" s="69" t="s">
        <v>104</v>
      </c>
    </row>
    <row r="18" spans="1:18" ht="15.5" x14ac:dyDescent="0.35">
      <c r="A18" s="72" t="s">
        <v>105</v>
      </c>
      <c r="B18" s="69"/>
      <c r="C18" s="69"/>
      <c r="D18" s="69"/>
      <c r="E18" s="69"/>
      <c r="F18" s="69"/>
      <c r="H18" s="69"/>
      <c r="I18" s="16"/>
      <c r="J18" s="16"/>
      <c r="K18" s="16"/>
      <c r="L18" s="16"/>
      <c r="M18" s="16"/>
      <c r="N18" s="16"/>
      <c r="O18" s="16"/>
    </row>
    <row r="19" spans="1:18" ht="15.5" x14ac:dyDescent="0.35">
      <c r="A19" s="69" t="s">
        <v>2</v>
      </c>
      <c r="B19" s="69"/>
      <c r="C19" s="13" t="s">
        <v>106</v>
      </c>
      <c r="D19" s="69"/>
      <c r="E19" s="69"/>
      <c r="F19" s="73">
        <v>40000</v>
      </c>
      <c r="G19" s="18">
        <f>IF(F19&gt;0,H19,0)</f>
        <v>100</v>
      </c>
      <c r="H19" s="210">
        <v>100</v>
      </c>
      <c r="I19" s="39" t="str">
        <f>IF(AND(F19&gt;0,H19&lt;1), "Error en la Celda F19 o H19", IF(AND(F19&lt;1,H19&gt;0),"Error en la Celda F19 o H19"," "))</f>
        <v xml:space="preserve"> </v>
      </c>
      <c r="J19" s="16"/>
      <c r="K19" s="16"/>
      <c r="L19" s="16"/>
      <c r="M19" s="16"/>
      <c r="N19" s="16"/>
      <c r="O19" s="16"/>
    </row>
    <row r="20" spans="1:18" ht="15.5" x14ac:dyDescent="0.35">
      <c r="A20" s="69" t="s">
        <v>3</v>
      </c>
      <c r="B20" s="69"/>
      <c r="C20" s="13" t="s">
        <v>106</v>
      </c>
      <c r="D20" s="69"/>
      <c r="E20" s="69"/>
      <c r="F20" s="73">
        <v>40000</v>
      </c>
      <c r="G20" s="18">
        <f>IF(F20&gt;0,H20,0)</f>
        <v>100</v>
      </c>
      <c r="H20" s="210">
        <v>100</v>
      </c>
      <c r="I20" s="39" t="str">
        <f>IF(AND(F20&gt;0,H20&lt;1), "Error en la Celda F20 o H20", IF(AND(F20&lt;1,H20&gt;0),"Error en la Celda F20 o H20"," "))</f>
        <v xml:space="preserve"> </v>
      </c>
      <c r="J20" s="16"/>
      <c r="K20" s="16"/>
      <c r="L20" s="16"/>
      <c r="M20" s="16"/>
      <c r="N20" s="16"/>
      <c r="O20" s="16"/>
    </row>
    <row r="21" spans="1:18" ht="15.5" x14ac:dyDescent="0.35">
      <c r="A21" s="69" t="s">
        <v>4</v>
      </c>
      <c r="B21" s="69"/>
      <c r="C21" s="13" t="s">
        <v>106</v>
      </c>
      <c r="D21" s="69"/>
      <c r="E21" s="69"/>
      <c r="F21" s="73"/>
      <c r="G21" s="18">
        <f>IF(F21&gt;0,H21,0)</f>
        <v>0</v>
      </c>
      <c r="H21" s="210"/>
      <c r="I21" s="39" t="str">
        <f>IF(AND(F21&gt;0,H21&lt;1), "Error en la Celda F21 o H21", IF(AND(F21&lt;1,H21&gt;0),"Error en la Celda F21 o H21"," "))</f>
        <v xml:space="preserve"> </v>
      </c>
      <c r="J21" s="16"/>
      <c r="K21" s="16"/>
      <c r="L21" s="16"/>
      <c r="M21" s="16"/>
      <c r="N21" s="16"/>
      <c r="O21" s="16"/>
    </row>
    <row r="22" spans="1:18" ht="15.5" x14ac:dyDescent="0.35">
      <c r="A22" s="69" t="s">
        <v>5</v>
      </c>
      <c r="B22" s="69"/>
      <c r="C22" s="13" t="s">
        <v>106</v>
      </c>
      <c r="D22" s="69"/>
      <c r="E22" s="69"/>
      <c r="F22" s="73"/>
      <c r="G22" s="18">
        <f>IF(F22&gt;0,H22,0)</f>
        <v>0</v>
      </c>
      <c r="H22" s="210"/>
      <c r="I22" s="39" t="str">
        <f>IF(AND(F22&gt;0,H22&lt;1), "Error en la Celda F22 o H22", IF(AND(F22&lt;1,H22&gt;0),"Error en la Celda F22 o H22"," "))</f>
        <v xml:space="preserve"> </v>
      </c>
      <c r="J22" s="16"/>
      <c r="K22" s="16"/>
      <c r="L22" s="16"/>
      <c r="M22" s="16"/>
      <c r="N22" s="16"/>
      <c r="O22" s="16"/>
    </row>
    <row r="23" spans="1:18" ht="15.5" x14ac:dyDescent="0.35">
      <c r="A23" s="69" t="s">
        <v>107</v>
      </c>
      <c r="C23" s="69"/>
      <c r="D23" s="69"/>
      <c r="E23" s="69"/>
      <c r="F23" s="211">
        <f>+F19*H19/100 +F20*H20/100+F21*H21/100+F22*H22/100</f>
        <v>80000</v>
      </c>
      <c r="I23" s="16"/>
      <c r="J23" s="16"/>
      <c r="K23" s="16"/>
      <c r="L23" s="16"/>
      <c r="M23" s="74"/>
      <c r="N23" s="74"/>
      <c r="O23" s="16"/>
    </row>
    <row r="24" spans="1:18" ht="15.5" x14ac:dyDescent="0.35">
      <c r="A24" s="69" t="s">
        <v>108</v>
      </c>
      <c r="B24" s="69"/>
      <c r="C24" s="69"/>
      <c r="D24" s="69"/>
      <c r="E24" s="69"/>
      <c r="F24" s="212">
        <f>+(+F7+F9)/2</f>
        <v>14</v>
      </c>
      <c r="H24" s="47" t="s">
        <v>109</v>
      </c>
      <c r="J24" s="16"/>
      <c r="K24" s="16"/>
      <c r="L24" s="16"/>
      <c r="M24" s="16"/>
      <c r="N24" s="16"/>
      <c r="O24" s="16"/>
    </row>
    <row r="25" spans="1:18" ht="15.5" x14ac:dyDescent="0.35">
      <c r="A25" s="69"/>
      <c r="B25" s="69"/>
      <c r="C25" s="69"/>
      <c r="D25" s="69"/>
      <c r="E25" s="69"/>
      <c r="F25" s="75"/>
      <c r="I25" s="74"/>
      <c r="J25" s="16"/>
      <c r="K25" s="16"/>
      <c r="L25" s="16"/>
      <c r="M25" s="16"/>
      <c r="N25" s="76"/>
      <c r="O25" s="16"/>
    </row>
    <row r="26" spans="1:18" ht="15.5" x14ac:dyDescent="0.35">
      <c r="B26" s="69"/>
      <c r="C26" s="69"/>
      <c r="D26" s="69"/>
      <c r="E26" s="69"/>
      <c r="I26" s="19"/>
      <c r="J26" s="16"/>
      <c r="K26" s="16"/>
      <c r="L26" s="16"/>
      <c r="M26" s="16"/>
      <c r="N26" s="55"/>
      <c r="O26" s="16"/>
    </row>
    <row r="27" spans="1:18" ht="15.5" x14ac:dyDescent="0.35">
      <c r="A27" s="72" t="s">
        <v>68</v>
      </c>
      <c r="B27" s="69"/>
      <c r="C27" s="69"/>
      <c r="D27" s="69"/>
      <c r="E27" s="69"/>
      <c r="F27" s="69"/>
      <c r="J27" s="16"/>
      <c r="K27" s="16"/>
      <c r="L27" s="16"/>
      <c r="M27" s="16"/>
      <c r="N27" s="55"/>
      <c r="O27" s="16"/>
    </row>
    <row r="28" spans="1:18" ht="15.5" x14ac:dyDescent="0.35">
      <c r="D28" s="77" t="s">
        <v>110</v>
      </c>
      <c r="E28" s="77"/>
      <c r="F28" s="195">
        <f>+(($F$19*$G$19+$F$20*$G$20+$F$21*$G$21+$F$22*$G$22)/IF(SUM($G$19:$G$22),SUM($G$19:$G$22),1)/$F$15)*($F$13*SUM($G$19:$G$22)/$F$11/100)^0.5</f>
        <v>440.95855184409851</v>
      </c>
      <c r="H28" s="10" t="s">
        <v>111</v>
      </c>
    </row>
    <row r="29" spans="1:18" ht="15.5" x14ac:dyDescent="0.35">
      <c r="A29" s="77" t="s">
        <v>112</v>
      </c>
      <c r="B29" s="10"/>
      <c r="C29" s="10"/>
      <c r="D29" s="10"/>
      <c r="E29" s="10"/>
      <c r="F29" s="78">
        <f>F35/F13</f>
        <v>44.181915305810371</v>
      </c>
      <c r="H29" s="118" t="s">
        <v>113</v>
      </c>
    </row>
    <row r="30" spans="1:18" ht="15.5" x14ac:dyDescent="0.35">
      <c r="A30" s="77" t="s">
        <v>114</v>
      </c>
      <c r="B30" s="10"/>
      <c r="C30" s="10"/>
      <c r="D30" s="10"/>
      <c r="E30" s="10"/>
      <c r="F30" s="78">
        <f>F13*93.6 +(1-F13)*62.4</f>
        <v>73.319999999999993</v>
      </c>
      <c r="H30" s="4" t="s">
        <v>115</v>
      </c>
      <c r="I30" s="2"/>
      <c r="J30" s="122"/>
      <c r="K30" s="122"/>
      <c r="L30" s="123"/>
      <c r="M30" s="122"/>
      <c r="N30" s="122"/>
    </row>
    <row r="31" spans="1:18" x14ac:dyDescent="0.25">
      <c r="J31" s="122"/>
      <c r="K31" s="122"/>
      <c r="L31" s="122"/>
      <c r="M31" s="122"/>
      <c r="N31" s="122"/>
      <c r="O31" s="20"/>
      <c r="P31" s="20"/>
      <c r="Q31" s="20"/>
      <c r="R31" s="20"/>
    </row>
    <row r="32" spans="1:18" ht="15.5" x14ac:dyDescent="0.35">
      <c r="B32" s="16"/>
      <c r="C32" s="16"/>
      <c r="D32" s="16"/>
      <c r="E32" s="77" t="s">
        <v>116</v>
      </c>
      <c r="F32" s="79">
        <f>1-(F29/F30)</f>
        <v>0.39740977487983664</v>
      </c>
      <c r="H32" s="4" t="s">
        <v>117</v>
      </c>
      <c r="J32" s="122"/>
      <c r="K32" s="15"/>
      <c r="L32" s="15"/>
      <c r="M32" s="15"/>
      <c r="N32" s="15"/>
      <c r="O32" s="20"/>
      <c r="P32" s="20"/>
      <c r="Q32" s="20"/>
      <c r="R32" s="20"/>
    </row>
    <row r="33" spans="1:18" ht="15.5" x14ac:dyDescent="0.35">
      <c r="J33" s="122"/>
      <c r="K33" s="15"/>
      <c r="L33" s="15"/>
      <c r="M33" s="15"/>
      <c r="N33" s="15"/>
      <c r="O33" s="20"/>
      <c r="P33" s="20"/>
      <c r="Q33" s="20"/>
      <c r="R33" s="20"/>
    </row>
    <row r="34" spans="1:18" ht="15.5" x14ac:dyDescent="0.35">
      <c r="J34" s="122"/>
      <c r="K34" s="15"/>
      <c r="L34" s="15"/>
      <c r="M34" s="15"/>
      <c r="N34" s="15"/>
      <c r="O34" s="20"/>
      <c r="P34" s="20"/>
      <c r="Q34" s="20"/>
      <c r="R34" s="20"/>
    </row>
    <row r="35" spans="1:18" ht="15.5" x14ac:dyDescent="0.35">
      <c r="A35" s="77" t="s">
        <v>118</v>
      </c>
      <c r="B35" s="77"/>
      <c r="C35" s="77"/>
      <c r="D35" s="77"/>
      <c r="E35" s="77"/>
      <c r="F35" s="78">
        <f>+IF(F36&lt;F37,F36,F37)</f>
        <v>15.463670357033628</v>
      </c>
      <c r="H35" s="4" t="s">
        <v>119</v>
      </c>
      <c r="J35" s="122"/>
      <c r="K35" s="15"/>
      <c r="L35" s="15"/>
      <c r="M35" s="15"/>
      <c r="N35" s="15"/>
      <c r="O35" s="20"/>
      <c r="P35" s="20"/>
      <c r="Q35" s="20"/>
      <c r="R35" s="20"/>
    </row>
    <row r="36" spans="1:18" ht="15.5" x14ac:dyDescent="0.35">
      <c r="A36" s="77" t="s">
        <v>120</v>
      </c>
      <c r="B36" s="10"/>
      <c r="C36" s="10"/>
      <c r="D36" s="10"/>
      <c r="E36" s="10"/>
      <c r="F36" s="78">
        <f>+F13*(F13*93.6+(1-F13)*62.4)</f>
        <v>25.661999999999995</v>
      </c>
      <c r="H36" s="4" t="s">
        <v>121</v>
      </c>
      <c r="J36" s="122"/>
      <c r="K36" s="122"/>
      <c r="L36" s="122"/>
      <c r="M36" s="122"/>
      <c r="N36" s="122"/>
      <c r="O36" s="20"/>
      <c r="P36" s="20"/>
      <c r="Q36" s="20"/>
      <c r="R36" s="20"/>
    </row>
    <row r="37" spans="1:18" ht="13" x14ac:dyDescent="0.3">
      <c r="F37" s="204">
        <f>(+F28*0.0155 + 8.5)*(0.818+0.0136*F24)</f>
        <v>15.463670357033628</v>
      </c>
      <c r="J37" s="124"/>
      <c r="K37" s="122"/>
      <c r="L37" s="122"/>
      <c r="M37" s="122"/>
      <c r="N37" s="122"/>
      <c r="O37" s="20"/>
      <c r="P37" s="20"/>
      <c r="Q37" s="20"/>
      <c r="R37" s="20"/>
    </row>
    <row r="40" spans="1:18" ht="15.5" x14ac:dyDescent="0.35">
      <c r="A40" s="69"/>
      <c r="B40" s="69"/>
      <c r="C40" s="69"/>
    </row>
    <row r="43" spans="1:18" ht="13" x14ac:dyDescent="0.3">
      <c r="A43" s="9" t="str">
        <f>+IF(F35=F36,"Estimated DM Density controlled by Maximum Achievable Density","")</f>
        <v/>
      </c>
    </row>
  </sheetData>
  <sheetProtection sheet="1" objects="1" scenarios="1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39997558519241921"/>
  </sheetPr>
  <dimension ref="A1:S49"/>
  <sheetViews>
    <sheetView zoomScale="70" zoomScaleNormal="70" workbookViewId="0">
      <selection activeCell="H39" sqref="H39"/>
    </sheetView>
  </sheetViews>
  <sheetFormatPr defaultColWidth="11.453125" defaultRowHeight="13.5" x14ac:dyDescent="0.35"/>
  <cols>
    <col min="1" max="1" width="16.453125" style="23" customWidth="1"/>
    <col min="2" max="2" width="100.1796875" style="23" customWidth="1"/>
    <col min="3" max="3" width="10.453125" style="25" customWidth="1"/>
    <col min="4" max="4" width="13.1796875" style="23" customWidth="1"/>
    <col min="5" max="5" width="20.453125" style="23" customWidth="1"/>
    <col min="6" max="6" width="15.7265625" style="105" customWidth="1"/>
    <col min="7" max="7" width="4.54296875" style="23" customWidth="1"/>
    <col min="8" max="8" width="15.7265625" style="23" customWidth="1"/>
    <col min="9" max="9" width="49.81640625" style="23" customWidth="1"/>
    <col min="10" max="10" width="12.453125" style="44" customWidth="1"/>
    <col min="11" max="16384" width="11.453125" style="23"/>
  </cols>
  <sheetData>
    <row r="1" spans="1:18" ht="19" x14ac:dyDescent="0.45">
      <c r="A1" s="223" t="s">
        <v>63</v>
      </c>
      <c r="B1" s="223"/>
      <c r="C1" s="223"/>
      <c r="D1" s="223"/>
      <c r="E1" s="223"/>
      <c r="F1" s="223"/>
      <c r="G1" s="223"/>
      <c r="H1" s="223"/>
    </row>
    <row r="2" spans="1:18" ht="19" x14ac:dyDescent="0.45">
      <c r="A2" s="224" t="s">
        <v>64</v>
      </c>
      <c r="B2" s="225"/>
      <c r="C2" s="225"/>
      <c r="D2" s="225"/>
      <c r="E2" s="225"/>
      <c r="F2" s="225"/>
      <c r="G2" s="225"/>
      <c r="H2" s="225"/>
    </row>
    <row r="3" spans="1:18" ht="19" x14ac:dyDescent="0.45">
      <c r="A3" s="224" t="s">
        <v>67</v>
      </c>
      <c r="B3" s="225"/>
      <c r="C3" s="225"/>
      <c r="D3" s="225"/>
      <c r="E3" s="225"/>
      <c r="F3" s="225"/>
      <c r="G3" s="225"/>
      <c r="H3" s="225"/>
    </row>
    <row r="4" spans="1:18" ht="15.5" x14ac:dyDescent="0.35">
      <c r="A4" s="225" t="s">
        <v>88</v>
      </c>
      <c r="B4" s="225"/>
      <c r="C4" s="225"/>
      <c r="D4" s="225"/>
      <c r="E4" s="225"/>
      <c r="F4" s="225"/>
      <c r="G4" s="225"/>
      <c r="H4" s="225"/>
    </row>
    <row r="5" spans="1:18" ht="14" thickBot="1" x14ac:dyDescent="0.4">
      <c r="B5" s="24"/>
      <c r="E5" s="26"/>
    </row>
    <row r="6" spans="1:18" ht="14" thickBot="1" x14ac:dyDescent="0.4">
      <c r="B6" s="24"/>
      <c r="E6" s="26"/>
      <c r="F6" s="221" t="s">
        <v>43</v>
      </c>
      <c r="G6" s="222"/>
    </row>
    <row r="7" spans="1:18" ht="16" thickBot="1" x14ac:dyDescent="0.4">
      <c r="A7" s="68" t="s">
        <v>44</v>
      </c>
      <c r="B7" s="6" t="s">
        <v>45</v>
      </c>
      <c r="F7" s="106">
        <v>3.66</v>
      </c>
      <c r="H7" s="23" t="s">
        <v>46</v>
      </c>
    </row>
    <row r="9" spans="1:18" ht="15.5" x14ac:dyDescent="0.35">
      <c r="B9" s="6" t="s">
        <v>47</v>
      </c>
      <c r="F9" s="107">
        <v>4.88</v>
      </c>
    </row>
    <row r="10" spans="1:18" ht="20.5" x14ac:dyDescent="0.45">
      <c r="J10" s="146">
        <f>F9</f>
        <v>4.88</v>
      </c>
      <c r="L10" s="147">
        <f>F7</f>
        <v>3.66</v>
      </c>
    </row>
    <row r="11" spans="1:18" ht="20" x14ac:dyDescent="0.4">
      <c r="B11" s="6" t="s">
        <v>48</v>
      </c>
      <c r="F11" s="107">
        <v>145.1</v>
      </c>
      <c r="G11" s="34"/>
      <c r="H11" s="26" t="s">
        <v>49</v>
      </c>
      <c r="P11" s="213"/>
      <c r="R11" s="102"/>
    </row>
    <row r="13" spans="1:18" ht="15.5" x14ac:dyDescent="0.35">
      <c r="B13" s="6" t="s">
        <v>50</v>
      </c>
      <c r="F13" s="107">
        <v>0.35</v>
      </c>
      <c r="G13" s="41" t="str">
        <f>IF(F13&gt;1,"C9 debe ser menor a 1"," ")</f>
        <v xml:space="preserve"> </v>
      </c>
      <c r="H13" s="26" t="s">
        <v>51</v>
      </c>
    </row>
    <row r="15" spans="1:18" ht="20.5" thickBot="1" x14ac:dyDescent="0.45">
      <c r="B15" s="6" t="s">
        <v>52</v>
      </c>
      <c r="F15" s="108">
        <v>15.24</v>
      </c>
      <c r="G15" s="46" t="str">
        <f>IF(F15&gt;60,"Considere una capa mas delgada", " ")</f>
        <v xml:space="preserve"> </v>
      </c>
      <c r="H15" s="26" t="s">
        <v>53</v>
      </c>
      <c r="I15" s="44"/>
      <c r="J15" s="102"/>
    </row>
    <row r="16" spans="1:18" ht="14" thickBot="1" x14ac:dyDescent="0.4"/>
    <row r="17" spans="1:19" s="29" customFormat="1" ht="27.5" thickBot="1" x14ac:dyDescent="0.4">
      <c r="A17" s="68" t="s">
        <v>54</v>
      </c>
      <c r="B17" s="69" t="s">
        <v>103</v>
      </c>
      <c r="C17" s="6" t="s">
        <v>87</v>
      </c>
      <c r="D17" s="23"/>
      <c r="E17" s="23"/>
      <c r="F17" s="133" t="s">
        <v>55</v>
      </c>
      <c r="G17" s="34"/>
      <c r="H17" s="27" t="s">
        <v>56</v>
      </c>
      <c r="J17" s="45"/>
    </row>
    <row r="18" spans="1:19" ht="14" thickBot="1" x14ac:dyDescent="0.4">
      <c r="B18" s="28" t="s">
        <v>192</v>
      </c>
    </row>
    <row r="19" spans="1:19" ht="15.5" x14ac:dyDescent="0.35">
      <c r="B19" s="6" t="s">
        <v>2</v>
      </c>
      <c r="E19" s="39"/>
      <c r="F19" s="62">
        <v>18144</v>
      </c>
      <c r="G19" s="132">
        <f>IF(F19&gt;0,H19,0)</f>
        <v>100</v>
      </c>
      <c r="H19" s="65">
        <v>100</v>
      </c>
      <c r="I19" s="39" t="str">
        <f>IF(AND(F19&gt;0,H19&lt;1), "Error en la Celda F19 o H19", IF(AND(F19&lt;1,H19&gt;0),"Error en la Celda F19 o H19"," "))</f>
        <v xml:space="preserve"> </v>
      </c>
    </row>
    <row r="20" spans="1:19" ht="15.5" x14ac:dyDescent="0.35">
      <c r="B20" s="6" t="s">
        <v>3</v>
      </c>
      <c r="E20" s="39"/>
      <c r="F20" s="63">
        <v>18144</v>
      </c>
      <c r="G20" s="132">
        <f>IF(F20&gt;0,H20,0)</f>
        <v>100</v>
      </c>
      <c r="H20" s="66">
        <v>100</v>
      </c>
      <c r="I20" s="39" t="str">
        <f>IF(AND(F20&gt;0,H20&lt;1), "Error en la Celda F20 o H20", IF(AND(F20&lt;1,H20&gt;0),"Error en la Celda F20 o H20"," "))</f>
        <v xml:space="preserve"> </v>
      </c>
    </row>
    <row r="21" spans="1:19" ht="15.5" x14ac:dyDescent="0.35">
      <c r="B21" s="6" t="s">
        <v>4</v>
      </c>
      <c r="E21" s="39"/>
      <c r="F21" s="63"/>
      <c r="G21" s="132">
        <f>IF(F21&gt;0,H21,0)</f>
        <v>0</v>
      </c>
      <c r="H21" s="66"/>
      <c r="I21" s="39" t="str">
        <f>IF(AND(F21&gt;0,H21&lt;1), "Error en la Celda F21 o H21", IF(AND(F21&lt;1,H21&gt;0),"Error en la Celda F21 o H21"," "))</f>
        <v xml:space="preserve"> </v>
      </c>
    </row>
    <row r="22" spans="1:19" ht="16" thickBot="1" x14ac:dyDescent="0.4">
      <c r="B22" s="6" t="s">
        <v>5</v>
      </c>
      <c r="E22" s="39"/>
      <c r="F22" s="64"/>
      <c r="G22" s="132">
        <f>IF(F22&gt;0,H22,0)</f>
        <v>0</v>
      </c>
      <c r="H22" s="67"/>
      <c r="I22" s="39" t="str">
        <f>IF(AND(F22&gt;0,H22&lt;1), "Error en la Celda F22 o H22", IF(AND(F22&lt;1,H22&gt;0),"Error en la Celda F22 o H22"," "))</f>
        <v xml:space="preserve"> </v>
      </c>
    </row>
    <row r="23" spans="1:19" ht="16" thickBot="1" x14ac:dyDescent="0.4">
      <c r="B23" s="61"/>
      <c r="C23" s="29"/>
      <c r="D23" s="29"/>
      <c r="E23" s="31"/>
      <c r="F23" s="109"/>
      <c r="G23" s="29"/>
      <c r="H23" s="30"/>
    </row>
    <row r="24" spans="1:19" ht="15.5" x14ac:dyDescent="0.35">
      <c r="A24" s="33" t="s">
        <v>57</v>
      </c>
      <c r="B24" s="6" t="s">
        <v>58</v>
      </c>
      <c r="E24" s="26"/>
      <c r="F24" s="114">
        <f>+F19*H19/100+F20*H20/100+F21*H21/100+F22*H22/100</f>
        <v>36288</v>
      </c>
      <c r="G24" s="34"/>
      <c r="H24" s="26"/>
      <c r="J24" s="40">
        <v>19</v>
      </c>
    </row>
    <row r="25" spans="1:19" ht="16" thickBot="1" x14ac:dyDescent="0.4">
      <c r="A25" s="35" t="s">
        <v>59</v>
      </c>
      <c r="B25" s="6" t="s">
        <v>60</v>
      </c>
      <c r="E25" s="26"/>
      <c r="F25" s="115">
        <f>+(+F7+F9)/2</f>
        <v>4.2699999999999996</v>
      </c>
      <c r="G25" s="34"/>
      <c r="J25" s="40">
        <v>20</v>
      </c>
    </row>
    <row r="26" spans="1:19" ht="16" thickBot="1" x14ac:dyDescent="0.4">
      <c r="B26" s="36"/>
      <c r="F26" s="110"/>
      <c r="H26" s="26"/>
      <c r="J26" s="40">
        <v>21</v>
      </c>
      <c r="K26" s="40"/>
      <c r="L26" s="40"/>
      <c r="M26" s="40"/>
      <c r="N26" s="40"/>
      <c r="O26" s="34"/>
    </row>
    <row r="27" spans="1:19" ht="14" thickBot="1" x14ac:dyDescent="0.4">
      <c r="A27" s="37" t="s">
        <v>61</v>
      </c>
      <c r="J27" s="40">
        <v>22</v>
      </c>
      <c r="K27" s="40"/>
      <c r="L27" s="40"/>
      <c r="M27" s="40"/>
      <c r="N27" s="40"/>
      <c r="O27" s="34"/>
    </row>
    <row r="28" spans="1:19" ht="15.5" x14ac:dyDescent="0.35">
      <c r="B28" s="104" t="s">
        <v>62</v>
      </c>
      <c r="F28" s="189">
        <f>+(($F$19*$G$19+$F$20*$G$20+$F$21*$G$21+$F$22*$G$22)/IF(SUM($G$19:$G$22),SUM($G$19:$G$22),1)/$F$15)*($F$13*10*SUM($G$19:$G$22)/$F$11)^0.5</f>
        <v>2614.9499685899414</v>
      </c>
      <c r="I28" s="34"/>
      <c r="K28" s="40"/>
      <c r="L28" s="40"/>
      <c r="M28" s="40"/>
      <c r="N28" s="40"/>
      <c r="O28" s="34"/>
    </row>
    <row r="29" spans="1:19" ht="17.5" x14ac:dyDescent="0.35">
      <c r="B29" s="103" t="s">
        <v>89</v>
      </c>
      <c r="E29" s="60"/>
      <c r="F29" s="38">
        <f>F35/F13</f>
        <v>709.15917257554474</v>
      </c>
      <c r="G29" s="60"/>
      <c r="H29" s="120" t="s">
        <v>83</v>
      </c>
      <c r="I29" s="120"/>
      <c r="J29" s="121"/>
      <c r="K29" s="40"/>
      <c r="L29" s="40"/>
      <c r="M29" s="40"/>
      <c r="N29" s="40"/>
      <c r="O29" s="34"/>
      <c r="P29" s="34"/>
      <c r="Q29" s="34"/>
      <c r="R29" s="34"/>
      <c r="S29" s="34"/>
    </row>
    <row r="30" spans="1:19" ht="15.5" x14ac:dyDescent="0.35">
      <c r="B30" s="58" t="s">
        <v>90</v>
      </c>
      <c r="E30" s="60"/>
      <c r="F30" s="38">
        <f>F13*1499.47 +(1-F13)*999.65</f>
        <v>1174.587</v>
      </c>
      <c r="G30" s="60"/>
      <c r="H30" s="120" t="s">
        <v>84</v>
      </c>
      <c r="I30" s="120"/>
      <c r="J30" s="122"/>
      <c r="K30" s="122"/>
      <c r="L30" s="123"/>
      <c r="M30" s="122"/>
      <c r="N30" s="122"/>
      <c r="O30" s="34"/>
      <c r="P30" s="34"/>
      <c r="Q30" s="34"/>
      <c r="R30" s="34"/>
      <c r="S30" s="34"/>
    </row>
    <row r="31" spans="1:19" x14ac:dyDescent="0.35">
      <c r="B31" s="1"/>
      <c r="E31" s="1"/>
      <c r="F31" s="111"/>
      <c r="G31" s="1"/>
      <c r="H31" s="122"/>
      <c r="I31" s="34"/>
      <c r="J31" s="122"/>
      <c r="K31" s="122"/>
      <c r="L31" s="122"/>
      <c r="M31" s="122"/>
      <c r="N31" s="122"/>
      <c r="O31" s="34"/>
      <c r="P31" s="34"/>
      <c r="Q31" s="34"/>
      <c r="R31" s="34"/>
      <c r="S31" s="34"/>
    </row>
    <row r="32" spans="1:19" ht="15.5" x14ac:dyDescent="0.35">
      <c r="B32" s="58" t="s">
        <v>91</v>
      </c>
      <c r="E32" s="56"/>
      <c r="F32" s="52">
        <f>1-(F29/F30)</f>
        <v>0.39624806627730025</v>
      </c>
      <c r="G32" s="57"/>
      <c r="H32" s="125" t="s">
        <v>82</v>
      </c>
      <c r="I32" s="120"/>
      <c r="J32" s="122"/>
      <c r="K32" s="128"/>
      <c r="L32" s="128"/>
      <c r="M32" s="128"/>
      <c r="N32" s="128"/>
      <c r="O32" s="34"/>
      <c r="P32" s="34"/>
      <c r="Q32" s="34"/>
      <c r="R32" s="34"/>
      <c r="S32" s="34"/>
    </row>
    <row r="33" spans="2:19" ht="15.5" x14ac:dyDescent="0.35">
      <c r="B33"/>
      <c r="F33" s="112"/>
      <c r="H33" s="34"/>
      <c r="I33" s="34"/>
      <c r="J33" s="122"/>
      <c r="K33" s="128"/>
      <c r="L33" s="128"/>
      <c r="M33" s="128"/>
      <c r="N33" s="128"/>
      <c r="O33" s="34"/>
      <c r="P33" s="34"/>
      <c r="Q33" s="34"/>
      <c r="R33" s="34"/>
      <c r="S33" s="34"/>
    </row>
    <row r="34" spans="2:19" ht="15.5" x14ac:dyDescent="0.35">
      <c r="B34"/>
      <c r="F34" s="112"/>
      <c r="H34" s="34"/>
      <c r="I34" s="34"/>
      <c r="J34" s="122"/>
      <c r="K34" s="130"/>
      <c r="L34" s="128"/>
      <c r="M34" s="128"/>
      <c r="N34" s="128"/>
      <c r="O34" s="34"/>
      <c r="P34" s="34"/>
      <c r="Q34" s="34"/>
      <c r="R34" s="34"/>
      <c r="S34" s="34"/>
    </row>
    <row r="35" spans="2:19" ht="17.5" x14ac:dyDescent="0.35">
      <c r="B35" s="59" t="s">
        <v>85</v>
      </c>
      <c r="E35" s="34"/>
      <c r="F35" s="116">
        <f>+IF(F36&lt;F37,F36,F37)</f>
        <v>248.20571040144063</v>
      </c>
      <c r="G35" s="34"/>
      <c r="H35" s="126" t="s">
        <v>193</v>
      </c>
      <c r="I35" s="120"/>
      <c r="J35" s="122"/>
      <c r="K35" s="128"/>
      <c r="L35" s="128"/>
      <c r="M35" s="128"/>
      <c r="N35" s="128"/>
      <c r="O35" s="34"/>
      <c r="P35" s="34"/>
      <c r="Q35" s="34"/>
      <c r="R35" s="34"/>
      <c r="S35" s="34"/>
    </row>
    <row r="36" spans="2:19" ht="17.5" x14ac:dyDescent="0.35">
      <c r="B36" s="59" t="s">
        <v>86</v>
      </c>
      <c r="F36" s="117">
        <f>F13*(F13*1500 + (1-F13)*1000)</f>
        <v>411.25</v>
      </c>
      <c r="H36" s="126" t="s">
        <v>81</v>
      </c>
      <c r="I36" s="120"/>
      <c r="J36" s="122"/>
      <c r="K36" s="122"/>
      <c r="L36" s="122"/>
      <c r="M36" s="122"/>
      <c r="N36" s="122"/>
      <c r="O36" s="34"/>
      <c r="P36" s="34"/>
      <c r="Q36" s="34"/>
      <c r="R36" s="34"/>
      <c r="S36" s="34"/>
    </row>
    <row r="37" spans="2:19" x14ac:dyDescent="0.35">
      <c r="F37" s="204">
        <f>(+F28*0.042 +136.3)*(0.818+0.0446*F25)</f>
        <v>248.20571040144063</v>
      </c>
      <c r="K37" s="122"/>
      <c r="L37" s="122"/>
      <c r="M37" s="122"/>
      <c r="N37" s="122"/>
    </row>
    <row r="39" spans="2:19" x14ac:dyDescent="0.35">
      <c r="F39" s="113"/>
    </row>
    <row r="40" spans="2:19" x14ac:dyDescent="0.35">
      <c r="F40" s="113"/>
    </row>
    <row r="41" spans="2:19" x14ac:dyDescent="0.35">
      <c r="F41" s="113"/>
    </row>
    <row r="42" spans="2:19" x14ac:dyDescent="0.35">
      <c r="F42" s="113"/>
    </row>
    <row r="43" spans="2:19" x14ac:dyDescent="0.35">
      <c r="F43" s="113"/>
    </row>
    <row r="44" spans="2:19" x14ac:dyDescent="0.35">
      <c r="F44" s="113"/>
    </row>
    <row r="45" spans="2:19" x14ac:dyDescent="0.35">
      <c r="F45" s="113"/>
    </row>
    <row r="46" spans="2:19" x14ac:dyDescent="0.35">
      <c r="F46" s="113"/>
    </row>
    <row r="47" spans="2:19" x14ac:dyDescent="0.35">
      <c r="F47" s="113"/>
    </row>
    <row r="48" spans="2:19" x14ac:dyDescent="0.35">
      <c r="F48" s="113"/>
    </row>
    <row r="49" spans="6:6" x14ac:dyDescent="0.35">
      <c r="F49" s="113"/>
    </row>
  </sheetData>
  <sheetProtection sheet="1" objects="1" scenarios="1"/>
  <mergeCells count="5">
    <mergeCell ref="F6:G6"/>
    <mergeCell ref="A1:H1"/>
    <mergeCell ref="A2:H2"/>
    <mergeCell ref="A3:H3"/>
    <mergeCell ref="A4:H4"/>
  </mergeCells>
  <phoneticPr fontId="0" type="noConversion"/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CCFF"/>
  </sheetPr>
  <dimension ref="A1:R50"/>
  <sheetViews>
    <sheetView zoomScale="70" zoomScaleNormal="70" workbookViewId="0">
      <selection activeCell="H39" sqref="H39"/>
    </sheetView>
  </sheetViews>
  <sheetFormatPr defaultColWidth="11.453125" defaultRowHeight="13.5" x14ac:dyDescent="0.35"/>
  <cols>
    <col min="1" max="1" width="18.26953125" style="23" customWidth="1"/>
    <col min="2" max="2" width="77" style="23" customWidth="1"/>
    <col min="3" max="3" width="2.54296875" style="86" customWidth="1"/>
    <col min="4" max="4" width="3.26953125" style="23" customWidth="1"/>
    <col min="5" max="5" width="10.7265625" style="23" customWidth="1"/>
    <col min="6" max="6" width="15.1796875" style="23" customWidth="1"/>
    <col min="7" max="7" width="3.26953125" style="23" customWidth="1"/>
    <col min="8" max="8" width="33.1796875" style="23" customWidth="1"/>
    <col min="9" max="9" width="48.1796875" style="23" customWidth="1"/>
    <col min="10" max="10" width="12.453125" style="44" customWidth="1"/>
    <col min="11" max="16384" width="11.453125" style="23"/>
  </cols>
  <sheetData>
    <row r="1" spans="1:18" ht="19" x14ac:dyDescent="0.45">
      <c r="A1" s="226" t="s">
        <v>156</v>
      </c>
      <c r="B1" s="226"/>
      <c r="C1" s="226"/>
      <c r="D1" s="226"/>
      <c r="E1" s="226"/>
      <c r="F1" s="226"/>
      <c r="G1" s="226"/>
      <c r="H1" s="226"/>
    </row>
    <row r="2" spans="1:18" ht="19" x14ac:dyDescent="0.45">
      <c r="A2" s="227" t="s">
        <v>157</v>
      </c>
      <c r="B2" s="228"/>
      <c r="C2" s="228"/>
      <c r="D2" s="228"/>
      <c r="E2" s="228"/>
      <c r="F2" s="228"/>
      <c r="G2" s="228"/>
      <c r="H2" s="228"/>
    </row>
    <row r="3" spans="1:18" ht="19" x14ac:dyDescent="0.45">
      <c r="A3" s="227" t="s">
        <v>158</v>
      </c>
      <c r="B3" s="228"/>
      <c r="C3" s="228"/>
      <c r="D3" s="228"/>
      <c r="E3" s="228"/>
      <c r="F3" s="228"/>
      <c r="G3" s="228"/>
      <c r="H3" s="228"/>
    </row>
    <row r="4" spans="1:18" ht="15.5" x14ac:dyDescent="0.35">
      <c r="A4" s="228" t="s">
        <v>159</v>
      </c>
      <c r="B4" s="228"/>
      <c r="C4" s="228"/>
      <c r="D4" s="228"/>
      <c r="E4" s="228"/>
      <c r="F4" s="228"/>
      <c r="G4" s="228"/>
      <c r="H4" s="228"/>
    </row>
    <row r="5" spans="1:18" ht="14" thickBot="1" x14ac:dyDescent="0.4">
      <c r="B5" s="24"/>
      <c r="E5" s="26"/>
    </row>
    <row r="6" spans="1:18" ht="14" thickBot="1" x14ac:dyDescent="0.4">
      <c r="B6" s="24"/>
      <c r="F6" s="221" t="s">
        <v>160</v>
      </c>
      <c r="G6" s="222"/>
      <c r="H6" s="26"/>
    </row>
    <row r="7" spans="1:18" ht="16" thickBot="1" x14ac:dyDescent="0.4">
      <c r="A7" s="68" t="s">
        <v>161</v>
      </c>
      <c r="B7" s="6" t="s">
        <v>162</v>
      </c>
      <c r="F7" s="184">
        <v>3.66</v>
      </c>
    </row>
    <row r="9" spans="1:18" ht="15.5" x14ac:dyDescent="0.35">
      <c r="B9" s="6" t="s">
        <v>163</v>
      </c>
      <c r="F9" s="185">
        <v>4.88</v>
      </c>
    </row>
    <row r="10" spans="1:18" ht="20.5" x14ac:dyDescent="0.45">
      <c r="J10" s="142">
        <f>F9</f>
        <v>4.88</v>
      </c>
      <c r="M10" s="143"/>
    </row>
    <row r="11" spans="1:18" ht="23" x14ac:dyDescent="0.5">
      <c r="B11" s="6" t="s">
        <v>164</v>
      </c>
      <c r="F11" s="182">
        <v>145.1</v>
      </c>
      <c r="H11" s="26" t="s">
        <v>165</v>
      </c>
      <c r="J11" s="136"/>
      <c r="M11" s="144">
        <v>3.7</v>
      </c>
      <c r="O11" s="141"/>
      <c r="R11" s="141"/>
    </row>
    <row r="13" spans="1:18" ht="15.5" x14ac:dyDescent="0.35">
      <c r="B13" s="6" t="s">
        <v>166</v>
      </c>
      <c r="F13" s="87">
        <v>0.35</v>
      </c>
      <c r="H13" s="26" t="s">
        <v>167</v>
      </c>
    </row>
    <row r="15" spans="1:18" ht="16" thickBot="1" x14ac:dyDescent="0.4">
      <c r="B15" s="6" t="s">
        <v>168</v>
      </c>
      <c r="F15" s="186">
        <v>15.24</v>
      </c>
      <c r="H15" s="26" t="s">
        <v>169</v>
      </c>
    </row>
    <row r="16" spans="1:18" ht="14" thickBot="1" x14ac:dyDescent="0.4"/>
    <row r="17" spans="1:15" s="29" customFormat="1" ht="18.5" thickBot="1" x14ac:dyDescent="0.45">
      <c r="A17" s="68" t="s">
        <v>170</v>
      </c>
      <c r="B17" s="138" t="s">
        <v>171</v>
      </c>
      <c r="C17" s="86"/>
      <c r="D17" s="23"/>
      <c r="E17" s="23"/>
      <c r="F17" s="139" t="s">
        <v>172</v>
      </c>
      <c r="G17" s="23"/>
      <c r="H17" s="140" t="s">
        <v>173</v>
      </c>
      <c r="I17" s="23"/>
      <c r="J17" s="45"/>
    </row>
    <row r="18" spans="1:15" ht="14" thickBot="1" x14ac:dyDescent="0.4">
      <c r="B18" s="28" t="s">
        <v>195</v>
      </c>
    </row>
    <row r="19" spans="1:15" ht="15.5" x14ac:dyDescent="0.35">
      <c r="B19" s="6" t="s">
        <v>174</v>
      </c>
      <c r="F19" s="88">
        <v>18144</v>
      </c>
      <c r="G19" s="137">
        <f>IF(F19&gt;0,H19,0)</f>
        <v>100</v>
      </c>
      <c r="H19" s="89">
        <v>100</v>
      </c>
      <c r="I19" s="39" t="str">
        <f>IF(AND(F19&gt;0,H19&lt;1), "Erreur dans la Cellule F19 ou H19", IF(AND(F19&lt;1,H19&gt;0),"Erreur dans la Cellule F19 ou H19"," "))</f>
        <v xml:space="preserve"> </v>
      </c>
    </row>
    <row r="20" spans="1:15" ht="15.5" x14ac:dyDescent="0.35">
      <c r="B20" s="6" t="s">
        <v>175</v>
      </c>
      <c r="F20" s="90">
        <v>18144</v>
      </c>
      <c r="G20" s="137">
        <f>IF(F20&gt;0,H20,0)</f>
        <v>100</v>
      </c>
      <c r="H20" s="91">
        <v>100</v>
      </c>
      <c r="I20" s="39" t="str">
        <f>IF(AND(F20&gt;0,H20&lt;1), "Erreur dans la Cellule F20 ou H20", IF(AND(F20&lt;1,H20&gt;0),"Erreur dans la Cellule F20 ou H20"," "))</f>
        <v xml:space="preserve"> </v>
      </c>
    </row>
    <row r="21" spans="1:15" ht="15.5" x14ac:dyDescent="0.35">
      <c r="B21" s="6" t="s">
        <v>176</v>
      </c>
      <c r="F21" s="90">
        <v>0</v>
      </c>
      <c r="G21" s="137">
        <f>IF(F21&gt;0,H21,0)</f>
        <v>0</v>
      </c>
      <c r="H21" s="91">
        <v>0</v>
      </c>
      <c r="I21" s="39" t="str">
        <f>IF(AND(F21&gt;0,H21&lt;1), "Erreur dans la Cellule F21 ou H21", IF(AND(F21&lt;1,H21&gt;0),"Erreur dans la Cellule F21 ou H21"," "))</f>
        <v xml:space="preserve"> </v>
      </c>
    </row>
    <row r="22" spans="1:15" ht="16" thickBot="1" x14ac:dyDescent="0.4">
      <c r="B22" s="6" t="s">
        <v>177</v>
      </c>
      <c r="F22" s="92">
        <v>0</v>
      </c>
      <c r="G22" s="137">
        <f>IF(F22&gt;0,H22,0)</f>
        <v>0</v>
      </c>
      <c r="H22" s="93">
        <v>0</v>
      </c>
      <c r="I22" s="39" t="str">
        <f>IF(AND(F22&gt;0,H22&lt;1), "Erreur dans la Cellule F22 ou H22", IF(AND(F22&lt;1,H22&gt;0),"Erreur dans la Cellule F22 ou H22"," "))</f>
        <v xml:space="preserve"> </v>
      </c>
      <c r="J22" s="135"/>
    </row>
    <row r="23" spans="1:15" ht="16" thickBot="1" x14ac:dyDescent="0.4">
      <c r="B23" s="61"/>
      <c r="C23" s="29"/>
      <c r="D23" s="29"/>
      <c r="E23" s="29"/>
      <c r="F23" s="94"/>
      <c r="G23" s="29"/>
      <c r="H23" s="95"/>
      <c r="I23" s="32"/>
      <c r="J23" s="135"/>
    </row>
    <row r="24" spans="1:15" ht="15.5" x14ac:dyDescent="0.35">
      <c r="A24" s="33" t="s">
        <v>178</v>
      </c>
      <c r="B24" s="6" t="s">
        <v>179</v>
      </c>
      <c r="F24" s="196">
        <f>+F19*H19/100+F20*H20/100+F21*H21/100+F22*H22/100</f>
        <v>36288</v>
      </c>
      <c r="H24" s="26"/>
      <c r="I24" s="34"/>
    </row>
    <row r="25" spans="1:15" ht="16" thickBot="1" x14ac:dyDescent="0.4">
      <c r="A25" s="35" t="s">
        <v>180</v>
      </c>
      <c r="B25" s="6" t="s">
        <v>181</v>
      </c>
      <c r="F25" s="96">
        <f>+(+F7+F9)/2</f>
        <v>4.2699999999999996</v>
      </c>
      <c r="I25" s="34"/>
    </row>
    <row r="26" spans="1:15" ht="16" thickBot="1" x14ac:dyDescent="0.4">
      <c r="A26"/>
      <c r="B26" s="36"/>
      <c r="F26" s="97"/>
      <c r="H26" s="26"/>
      <c r="O26" s="34"/>
    </row>
    <row r="27" spans="1:15" ht="16" thickBot="1" x14ac:dyDescent="0.4">
      <c r="A27" s="37" t="s">
        <v>178</v>
      </c>
      <c r="B27" s="61" t="s">
        <v>182</v>
      </c>
      <c r="F27" s="190">
        <f>+(($F$19*$G$19+$F$20*$G$20+$F$21*$G$21+$F$22*$G$22)/IF(SUM($G$19:$G$22),SUM($G$19:$G$22),1)/$F$15)*($F$13*10*SUM($G$19:$G$22)/$F$11)^0.5</f>
        <v>2614.9499685899414</v>
      </c>
      <c r="O27" s="34"/>
    </row>
    <row r="28" spans="1:15" ht="17.5" x14ac:dyDescent="0.35">
      <c r="B28" s="58" t="s">
        <v>183</v>
      </c>
      <c r="F28" s="38">
        <f>F36/F13</f>
        <v>709.15917257554474</v>
      </c>
      <c r="H28" s="120" t="s">
        <v>263</v>
      </c>
      <c r="I28" s="119"/>
      <c r="O28" s="34"/>
    </row>
    <row r="29" spans="1:15" ht="17.5" x14ac:dyDescent="0.35">
      <c r="B29" s="58" t="s">
        <v>184</v>
      </c>
      <c r="F29" s="38">
        <f>F13*1499.47 +(1-F13)*999.65</f>
        <v>1174.587</v>
      </c>
      <c r="H29" s="120" t="s">
        <v>185</v>
      </c>
      <c r="I29" s="119"/>
      <c r="O29" s="34"/>
    </row>
    <row r="30" spans="1:15" x14ac:dyDescent="0.35">
      <c r="B30" s="1"/>
      <c r="F30" s="1"/>
      <c r="H30" s="11"/>
      <c r="I30" s="1"/>
    </row>
    <row r="31" spans="1:15" ht="15.5" x14ac:dyDescent="0.35">
      <c r="B31" s="98" t="s">
        <v>186</v>
      </c>
      <c r="F31" s="52">
        <f>1-(F28/F29)</f>
        <v>0.39624806627730025</v>
      </c>
      <c r="H31" s="125" t="s">
        <v>187</v>
      </c>
      <c r="I31" s="119"/>
      <c r="J31" s="135"/>
    </row>
    <row r="32" spans="1:15" ht="15.5" x14ac:dyDescent="0.35">
      <c r="B32"/>
      <c r="F32" s="99"/>
      <c r="J32" s="131"/>
      <c r="K32" s="128"/>
      <c r="L32" s="128"/>
      <c r="M32" s="128"/>
      <c r="N32" s="128"/>
    </row>
    <row r="33" spans="2:14" ht="15.5" x14ac:dyDescent="0.35">
      <c r="B33"/>
      <c r="F33" s="99"/>
      <c r="J33" s="131"/>
      <c r="K33" s="128"/>
      <c r="L33" s="128"/>
      <c r="M33" s="128"/>
      <c r="N33" s="128"/>
    </row>
    <row r="34" spans="2:14" ht="15.5" x14ac:dyDescent="0.35">
      <c r="F34" s="100"/>
      <c r="J34" s="131"/>
      <c r="K34" s="130"/>
      <c r="L34" s="128"/>
      <c r="M34" s="128"/>
      <c r="N34" s="128"/>
    </row>
    <row r="35" spans="2:14" ht="15.5" x14ac:dyDescent="0.35">
      <c r="F35" s="86"/>
      <c r="J35" s="131"/>
      <c r="K35" s="128"/>
      <c r="L35" s="128"/>
      <c r="M35" s="128"/>
      <c r="N35" s="128"/>
    </row>
    <row r="36" spans="2:14" ht="17.5" x14ac:dyDescent="0.35">
      <c r="B36" s="101" t="s">
        <v>188</v>
      </c>
      <c r="F36" s="197">
        <f>+IF(F37&lt;F38,F37,F38)</f>
        <v>248.20571040144063</v>
      </c>
      <c r="H36" s="126" t="s">
        <v>262</v>
      </c>
      <c r="I36" s="120"/>
      <c r="J36" s="135"/>
    </row>
    <row r="37" spans="2:14" ht="17.5" x14ac:dyDescent="0.35">
      <c r="B37" s="101" t="s">
        <v>189</v>
      </c>
      <c r="F37" s="198">
        <f>F13*(F13*1500 + (1-F13)*1000)</f>
        <v>411.25</v>
      </c>
      <c r="H37" s="126" t="s">
        <v>190</v>
      </c>
      <c r="I37" s="120"/>
      <c r="J37" s="135"/>
    </row>
    <row r="38" spans="2:14" x14ac:dyDescent="0.35">
      <c r="F38" s="193">
        <f>(F27*0.042+136.3)*(0.818+0.0446*F25)</f>
        <v>248.20571040144063</v>
      </c>
    </row>
    <row r="39" spans="2:14" x14ac:dyDescent="0.35">
      <c r="F39" s="86"/>
    </row>
    <row r="40" spans="2:14" x14ac:dyDescent="0.35">
      <c r="F40" s="86"/>
    </row>
    <row r="41" spans="2:14" x14ac:dyDescent="0.35">
      <c r="F41" s="86"/>
    </row>
    <row r="42" spans="2:14" x14ac:dyDescent="0.35">
      <c r="F42" s="86"/>
    </row>
    <row r="43" spans="2:14" x14ac:dyDescent="0.35">
      <c r="F43" s="86"/>
    </row>
    <row r="44" spans="2:14" x14ac:dyDescent="0.35">
      <c r="F44" s="86"/>
    </row>
    <row r="45" spans="2:14" x14ac:dyDescent="0.35">
      <c r="F45" s="86"/>
    </row>
    <row r="46" spans="2:14" x14ac:dyDescent="0.35">
      <c r="F46" s="86"/>
    </row>
    <row r="47" spans="2:14" x14ac:dyDescent="0.35">
      <c r="F47" s="86"/>
    </row>
    <row r="48" spans="2:14" x14ac:dyDescent="0.35">
      <c r="F48" s="86"/>
    </row>
    <row r="49" spans="6:6" x14ac:dyDescent="0.35">
      <c r="F49" s="86"/>
    </row>
    <row r="50" spans="6:6" x14ac:dyDescent="0.35">
      <c r="F50" s="86"/>
    </row>
  </sheetData>
  <sheetProtection sheet="1" objects="1" scenarios="1"/>
  <mergeCells count="5">
    <mergeCell ref="A1:H1"/>
    <mergeCell ref="A2:H2"/>
    <mergeCell ref="A3:H3"/>
    <mergeCell ref="A4:H4"/>
    <mergeCell ref="F6:G6"/>
  </mergeCells>
  <pageMargins left="0.75" right="0.75" top="1" bottom="1" header="0.5" footer="0.5"/>
  <pageSetup orientation="portrait" horizontalDpi="204" verticalDpi="196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99CC"/>
  </sheetPr>
  <dimension ref="A1:U49"/>
  <sheetViews>
    <sheetView zoomScale="70" zoomScaleNormal="70" workbookViewId="0">
      <selection activeCell="J35" sqref="J35"/>
    </sheetView>
  </sheetViews>
  <sheetFormatPr defaultColWidth="8.81640625" defaultRowHeight="12.5" x14ac:dyDescent="0.25"/>
  <cols>
    <col min="1" max="4" width="8.81640625" customWidth="1"/>
    <col min="5" max="5" width="45.54296875" customWidth="1"/>
    <col min="6" max="6" width="8.81640625" customWidth="1"/>
    <col min="7" max="7" width="5" customWidth="1"/>
    <col min="8" max="8" width="60.1796875" customWidth="1"/>
    <col min="9" max="9" width="22.26953125" customWidth="1"/>
  </cols>
  <sheetData>
    <row r="1" spans="1:11" ht="15.5" x14ac:dyDescent="0.35">
      <c r="A1" s="1"/>
      <c r="B1" s="1"/>
      <c r="C1" s="1"/>
      <c r="D1" s="1"/>
      <c r="E1" s="1"/>
      <c r="F1" s="1"/>
      <c r="G1" s="1"/>
      <c r="H1" s="5" t="s">
        <v>122</v>
      </c>
      <c r="I1" s="1"/>
    </row>
    <row r="2" spans="1:11" ht="15.5" x14ac:dyDescent="0.35">
      <c r="A2" s="1"/>
      <c r="B2" s="1"/>
      <c r="C2" s="1"/>
      <c r="D2" s="1"/>
      <c r="E2" s="1"/>
      <c r="F2" s="1"/>
      <c r="G2" s="1"/>
      <c r="H2" s="5" t="s">
        <v>123</v>
      </c>
      <c r="I2" s="1"/>
    </row>
    <row r="3" spans="1:11" ht="13" x14ac:dyDescent="0.3">
      <c r="A3" s="1"/>
      <c r="B3" s="1"/>
      <c r="C3" s="1"/>
      <c r="D3" s="1"/>
      <c r="E3" s="1"/>
      <c r="F3" s="1"/>
      <c r="G3" s="1"/>
      <c r="H3" s="2" t="s">
        <v>124</v>
      </c>
      <c r="I3" s="1"/>
    </row>
    <row r="4" spans="1:11" ht="13" x14ac:dyDescent="0.3">
      <c r="A4" s="1"/>
      <c r="B4" s="1"/>
      <c r="C4" s="1"/>
      <c r="D4" s="1"/>
      <c r="E4" s="1"/>
      <c r="F4" s="1"/>
      <c r="G4" s="1"/>
      <c r="H4" s="2" t="s">
        <v>125</v>
      </c>
      <c r="I4" s="1"/>
    </row>
    <row r="5" spans="1:11" ht="13" x14ac:dyDescent="0.3">
      <c r="A5" s="1"/>
      <c r="B5" s="1"/>
      <c r="C5" s="1"/>
      <c r="D5" s="1"/>
      <c r="E5" s="1"/>
      <c r="F5" s="1"/>
      <c r="G5" s="1"/>
      <c r="H5" s="2" t="s">
        <v>126</v>
      </c>
      <c r="I5" s="1"/>
    </row>
    <row r="6" spans="1:11" ht="13" x14ac:dyDescent="0.3">
      <c r="A6" s="1"/>
      <c r="B6" s="1"/>
      <c r="C6" s="1"/>
      <c r="D6" s="1"/>
      <c r="E6" s="1"/>
      <c r="F6" s="1"/>
      <c r="G6" s="1"/>
      <c r="H6" s="2" t="s">
        <v>127</v>
      </c>
      <c r="I6" s="1"/>
    </row>
    <row r="7" spans="1:11" ht="15.5" x14ac:dyDescent="0.35">
      <c r="A7" s="6" t="s">
        <v>128</v>
      </c>
      <c r="B7" s="6"/>
      <c r="C7" s="6"/>
      <c r="D7" s="6"/>
      <c r="E7" s="6"/>
      <c r="F7" s="49">
        <v>3.66</v>
      </c>
      <c r="G7" s="1"/>
      <c r="H7" s="3">
        <v>39317</v>
      </c>
      <c r="I7" s="1"/>
    </row>
    <row r="8" spans="1:11" ht="15.5" x14ac:dyDescent="0.35">
      <c r="A8" s="6"/>
      <c r="B8" s="6"/>
      <c r="C8" s="6"/>
      <c r="D8" s="6"/>
      <c r="E8" s="6"/>
      <c r="F8" s="6"/>
      <c r="G8" s="1"/>
      <c r="H8" s="1"/>
      <c r="I8" s="1"/>
    </row>
    <row r="9" spans="1:11" ht="15.5" x14ac:dyDescent="0.35">
      <c r="A9" s="6" t="s">
        <v>129</v>
      </c>
      <c r="B9" s="6"/>
      <c r="C9" s="6"/>
      <c r="D9" s="6"/>
      <c r="E9" s="6"/>
      <c r="F9" s="49">
        <v>4.88</v>
      </c>
      <c r="G9" s="1"/>
      <c r="H9" s="81" t="s">
        <v>130</v>
      </c>
      <c r="I9" s="1"/>
    </row>
    <row r="10" spans="1:11" ht="15.5" x14ac:dyDescent="0.35">
      <c r="A10" s="6"/>
      <c r="B10" s="6"/>
      <c r="C10" s="6"/>
      <c r="D10" s="6"/>
      <c r="E10" s="6"/>
      <c r="F10" s="6"/>
      <c r="G10" s="1"/>
      <c r="H10" s="1"/>
      <c r="I10" s="1"/>
    </row>
    <row r="11" spans="1:11" ht="15.5" x14ac:dyDescent="0.35">
      <c r="A11" s="6" t="s">
        <v>131</v>
      </c>
      <c r="B11" s="6"/>
      <c r="C11" s="6"/>
      <c r="D11" s="6"/>
      <c r="E11" s="6"/>
      <c r="F11" s="49">
        <v>145.1</v>
      </c>
      <c r="G11" s="1"/>
      <c r="H11" s="81" t="s">
        <v>132</v>
      </c>
      <c r="I11" s="1"/>
    </row>
    <row r="12" spans="1:11" ht="20" x14ac:dyDescent="0.4">
      <c r="A12" s="6"/>
      <c r="B12" s="6"/>
      <c r="C12" s="6"/>
      <c r="D12" s="6"/>
      <c r="E12" s="6"/>
      <c r="F12" s="6"/>
      <c r="G12" s="1"/>
      <c r="H12" s="1"/>
      <c r="I12" s="1"/>
      <c r="J12" s="43">
        <f>+F9</f>
        <v>4.88</v>
      </c>
    </row>
    <row r="13" spans="1:11" ht="15.5" x14ac:dyDescent="0.35">
      <c r="A13" s="6" t="s">
        <v>133</v>
      </c>
      <c r="B13" s="6"/>
      <c r="C13" s="6"/>
      <c r="D13" s="6"/>
      <c r="E13" s="6"/>
      <c r="F13" s="49">
        <v>0.35</v>
      </c>
      <c r="G13" s="1"/>
      <c r="H13" s="11" t="s">
        <v>134</v>
      </c>
      <c r="I13" s="1"/>
    </row>
    <row r="14" spans="1:11" ht="20" x14ac:dyDescent="0.4">
      <c r="B14" s="6"/>
      <c r="C14" s="6"/>
      <c r="D14" s="6"/>
      <c r="E14" s="6"/>
      <c r="F14" s="12" t="str">
        <f>+IF(F13&gt;1,"F13 must be less than 1"," ")</f>
        <v xml:space="preserve"> </v>
      </c>
      <c r="G14" s="1"/>
      <c r="H14" s="1"/>
      <c r="I14" s="1"/>
      <c r="K14" s="43">
        <f>+F7</f>
        <v>3.66</v>
      </c>
    </row>
    <row r="15" spans="1:11" ht="15.5" x14ac:dyDescent="0.35">
      <c r="A15" s="6" t="s">
        <v>135</v>
      </c>
      <c r="B15" s="6"/>
      <c r="C15" s="6"/>
      <c r="D15" s="6"/>
      <c r="E15" s="6"/>
      <c r="F15" s="49">
        <v>15.24</v>
      </c>
      <c r="G15" s="1"/>
      <c r="H15" s="81" t="s">
        <v>136</v>
      </c>
      <c r="I15" s="1"/>
    </row>
    <row r="16" spans="1:11" ht="15.5" x14ac:dyDescent="0.35">
      <c r="A16" s="6"/>
      <c r="B16" s="6"/>
      <c r="C16" s="6"/>
      <c r="D16" s="6"/>
      <c r="E16" s="6"/>
      <c r="F16" s="12" t="str">
        <f>+IF(F15&gt;60,"Consider a thinner layer in cell F15", " ")</f>
        <v xml:space="preserve"> </v>
      </c>
      <c r="G16" s="1"/>
      <c r="H16" s="1"/>
      <c r="I16" s="1"/>
    </row>
    <row r="17" spans="1:21" ht="15.5" x14ac:dyDescent="0.35">
      <c r="A17" s="6" t="s">
        <v>137</v>
      </c>
      <c r="B17" s="6"/>
      <c r="C17" s="6"/>
      <c r="D17" s="6"/>
      <c r="E17" s="6" t="s">
        <v>138</v>
      </c>
      <c r="F17" s="6"/>
      <c r="G17" s="1"/>
      <c r="H17" s="6" t="s">
        <v>139</v>
      </c>
      <c r="I17" s="1"/>
    </row>
    <row r="18" spans="1:21" ht="15.5" x14ac:dyDescent="0.35">
      <c r="A18" s="7" t="s">
        <v>154</v>
      </c>
      <c r="B18" s="6"/>
      <c r="C18" s="6"/>
      <c r="D18" s="6"/>
      <c r="E18" s="6"/>
      <c r="F18" s="6"/>
      <c r="G18" s="1"/>
      <c r="H18" s="6"/>
      <c r="I18" s="16"/>
      <c r="K18" s="17"/>
      <c r="L18" s="17"/>
    </row>
    <row r="19" spans="1:21" ht="15.5" x14ac:dyDescent="0.35">
      <c r="A19" s="6" t="s">
        <v>140</v>
      </c>
      <c r="B19" s="6"/>
      <c r="C19" s="13" t="s">
        <v>141</v>
      </c>
      <c r="D19" s="6"/>
      <c r="E19" s="6"/>
      <c r="F19" s="50">
        <v>18144</v>
      </c>
      <c r="G19" s="18">
        <f>IF(F19&gt;0,H19,0)</f>
        <v>100</v>
      </c>
      <c r="H19" s="208">
        <v>100</v>
      </c>
      <c r="I19" s="39" t="str">
        <f>IF(AND(F19&gt;0,H19&lt;1), "Ошибка в ячейке F19 или H19", IF(AND(F19&lt;1,H19&gt;0),"Ошибка в ячейке F19 или H19"," "))</f>
        <v xml:space="preserve"> </v>
      </c>
      <c r="K19" s="15"/>
      <c r="L19" s="15"/>
    </row>
    <row r="20" spans="1:21" ht="15.5" x14ac:dyDescent="0.35">
      <c r="A20" s="6" t="s">
        <v>142</v>
      </c>
      <c r="B20" s="6"/>
      <c r="C20" s="13" t="s">
        <v>141</v>
      </c>
      <c r="D20" s="6"/>
      <c r="E20" s="6"/>
      <c r="F20" s="49">
        <v>18144</v>
      </c>
      <c r="G20" s="18">
        <f>IF(F20&gt;0,H20,0)</f>
        <v>100</v>
      </c>
      <c r="H20" s="208">
        <v>100</v>
      </c>
      <c r="I20" s="39" t="str">
        <f>IF(AND(F20&gt;0,H20&lt;1), "Ошибка в ячейке F20 или H20", IF(AND(F20&lt;1,H20&gt;0),"Ошибка в ячейке F20 или H20"," "))</f>
        <v xml:space="preserve"> </v>
      </c>
      <c r="J20" s="15"/>
      <c r="K20" s="15"/>
      <c r="L20" s="15"/>
      <c r="M20" s="17"/>
    </row>
    <row r="21" spans="1:21" ht="15.5" x14ac:dyDescent="0.35">
      <c r="A21" s="6" t="s">
        <v>143</v>
      </c>
      <c r="B21" s="6"/>
      <c r="C21" s="13" t="s">
        <v>141</v>
      </c>
      <c r="D21" s="6"/>
      <c r="E21" s="6"/>
      <c r="F21" s="51">
        <v>0</v>
      </c>
      <c r="G21" s="18">
        <f>IF(F21&gt;0,H21,0)</f>
        <v>0</v>
      </c>
      <c r="H21" s="208">
        <v>0</v>
      </c>
      <c r="I21" s="39" t="str">
        <f>IF(AND(F21&gt;0,H21&lt;1), "Ошибка в ячейке F21 или H21", IF(AND(F21&lt;1,H21&gt;0),"Ошибка в ячейке F21 или H21"," "))</f>
        <v xml:space="preserve"> </v>
      </c>
      <c r="J21" s="15"/>
      <c r="K21" s="15"/>
      <c r="L21" s="15"/>
      <c r="M21" s="17"/>
    </row>
    <row r="22" spans="1:21" ht="15.5" x14ac:dyDescent="0.35">
      <c r="A22" s="6" t="s">
        <v>144</v>
      </c>
      <c r="B22" s="6"/>
      <c r="C22" s="13" t="s">
        <v>141</v>
      </c>
      <c r="D22" s="6"/>
      <c r="E22" s="6"/>
      <c r="F22" s="49">
        <v>0</v>
      </c>
      <c r="G22" s="18">
        <f>IF(F22&gt;0,H22,0)</f>
        <v>0</v>
      </c>
      <c r="H22" s="208">
        <v>0</v>
      </c>
      <c r="I22" s="39" t="str">
        <f>IF(AND(F22&gt;0,H22&lt;1), "Ошибка в ячейке F22 или H22", IF(AND(F22&lt;1,H22&gt;0),"Ошибка в ячейке F22 или H22"," "))</f>
        <v xml:space="preserve"> </v>
      </c>
      <c r="J22" s="15"/>
      <c r="K22" s="15"/>
      <c r="L22" s="21"/>
      <c r="M22" s="17"/>
    </row>
    <row r="23" spans="1:21" ht="15.5" x14ac:dyDescent="0.35">
      <c r="A23" s="6" t="s">
        <v>145</v>
      </c>
      <c r="C23" s="6"/>
      <c r="D23" s="6"/>
      <c r="E23" s="6"/>
      <c r="F23" s="200">
        <f>+F19*H19/100 +F20*H20/100+F21*H21/100+F22*H22/100</f>
        <v>36288</v>
      </c>
      <c r="G23" s="1"/>
      <c r="H23" s="1"/>
      <c r="I23" s="16"/>
      <c r="J23" s="21"/>
      <c r="K23" s="15"/>
      <c r="L23" s="21"/>
      <c r="M23" s="17"/>
      <c r="U23" s="15"/>
    </row>
    <row r="24" spans="1:21" ht="15.5" x14ac:dyDescent="0.35">
      <c r="A24" s="6" t="s">
        <v>146</v>
      </c>
      <c r="B24" s="6"/>
      <c r="C24" s="6"/>
      <c r="D24" s="6"/>
      <c r="E24" s="6"/>
      <c r="F24" s="206">
        <f>+(+F7+F9)/2</f>
        <v>4.2699999999999996</v>
      </c>
      <c r="G24" s="1"/>
      <c r="H24" s="82" t="s">
        <v>147</v>
      </c>
      <c r="I24" s="1"/>
      <c r="J24" s="21"/>
      <c r="K24" s="15"/>
      <c r="L24" s="21"/>
      <c r="M24" s="17"/>
    </row>
    <row r="25" spans="1:21" ht="15.5" x14ac:dyDescent="0.35">
      <c r="A25" s="6"/>
      <c r="B25" s="6"/>
      <c r="C25" s="6"/>
      <c r="D25" s="6"/>
      <c r="E25" s="6"/>
      <c r="F25" s="48"/>
      <c r="G25" s="1"/>
      <c r="I25" s="1"/>
      <c r="J25" s="21"/>
      <c r="K25" s="21"/>
      <c r="L25" s="21"/>
    </row>
    <row r="26" spans="1:21" x14ac:dyDescent="0.25">
      <c r="G26" s="1"/>
      <c r="H26" s="1"/>
      <c r="I26" s="1"/>
      <c r="J26" s="127"/>
      <c r="K26" s="127"/>
      <c r="L26" s="127"/>
      <c r="M26" s="127"/>
      <c r="N26" s="127"/>
      <c r="O26" s="127"/>
      <c r="P26" s="127"/>
      <c r="Q26" s="127"/>
      <c r="R26" s="127"/>
    </row>
    <row r="27" spans="1:21" ht="15.5" x14ac:dyDescent="0.35">
      <c r="A27" s="7" t="s">
        <v>155</v>
      </c>
      <c r="B27" s="6"/>
      <c r="C27" s="6"/>
      <c r="D27" s="6"/>
      <c r="E27" s="6"/>
      <c r="F27" s="6"/>
      <c r="G27" s="1"/>
      <c r="H27" s="1"/>
      <c r="I27" s="1"/>
      <c r="J27" s="127"/>
      <c r="K27" s="127"/>
      <c r="L27" s="127"/>
      <c r="M27" s="127"/>
      <c r="N27" s="127"/>
      <c r="O27" s="127"/>
      <c r="P27" s="127"/>
      <c r="Q27" s="127"/>
      <c r="R27" s="127"/>
    </row>
    <row r="28" spans="1:21" ht="15.5" x14ac:dyDescent="0.35">
      <c r="A28" s="6"/>
      <c r="B28" s="6"/>
      <c r="C28" s="6"/>
      <c r="D28" s="8" t="s">
        <v>148</v>
      </c>
      <c r="E28" s="8"/>
      <c r="F28" s="195">
        <f>+(($F$19*$G$19+$F$20*$G$20+$F$21*$G$21+$F$22*$G$22)/IF(SUM($G$19:$G$22),SUM($G$19:$G$22),1)/$F$15)*($F$13*10*SUM($G$19:$G$22)/$F$11)^0.5</f>
        <v>2614.9499685899414</v>
      </c>
      <c r="G28" s="1"/>
      <c r="H28" s="83" t="s">
        <v>149</v>
      </c>
      <c r="I28" s="1"/>
      <c r="J28" s="127"/>
      <c r="K28" s="14"/>
      <c r="L28" s="134"/>
      <c r="M28" s="134"/>
      <c r="N28" s="134"/>
      <c r="O28" s="127"/>
      <c r="P28" s="127"/>
      <c r="Q28" s="127"/>
      <c r="R28" s="127"/>
    </row>
    <row r="29" spans="1:21" ht="17.5" x14ac:dyDescent="0.35">
      <c r="A29" s="8" t="s">
        <v>256</v>
      </c>
      <c r="B29" s="10"/>
      <c r="C29" s="10"/>
      <c r="D29" s="10"/>
      <c r="E29" s="10"/>
      <c r="F29" s="195">
        <f>F35/F13</f>
        <v>709.15917257554474</v>
      </c>
      <c r="G29" s="1"/>
      <c r="H29" s="84" t="s">
        <v>260</v>
      </c>
      <c r="I29" s="16"/>
      <c r="J29" s="134"/>
      <c r="K29" s="134"/>
      <c r="L29" s="134"/>
      <c r="M29" s="127"/>
      <c r="N29" s="127"/>
      <c r="O29" s="127"/>
      <c r="P29" s="127"/>
      <c r="Q29" s="127"/>
      <c r="R29" s="127"/>
    </row>
    <row r="30" spans="1:21" ht="26.25" customHeight="1" x14ac:dyDescent="0.35">
      <c r="A30" s="8" t="s">
        <v>257</v>
      </c>
      <c r="B30" s="10"/>
      <c r="C30" s="10"/>
      <c r="D30" s="10"/>
      <c r="E30" s="10"/>
      <c r="F30" s="38">
        <f>F13*1499.47 +(1-F13)*999.65</f>
        <v>1174.587</v>
      </c>
      <c r="G30" s="1"/>
      <c r="H30" s="85" t="s">
        <v>150</v>
      </c>
      <c r="I30" s="22"/>
      <c r="J30" s="134"/>
      <c r="K30" s="134"/>
      <c r="L30" s="134"/>
      <c r="M30" s="127"/>
      <c r="N30" s="127"/>
      <c r="O30" s="127"/>
      <c r="P30" s="127"/>
      <c r="Q30" s="127"/>
      <c r="R30" s="127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22"/>
      <c r="K31" s="122"/>
      <c r="L31" s="122"/>
      <c r="M31" s="122"/>
      <c r="N31" s="122"/>
      <c r="O31" s="127"/>
      <c r="P31" s="127"/>
      <c r="Q31" s="127"/>
      <c r="R31" s="127"/>
    </row>
    <row r="32" spans="1:21" ht="15.5" x14ac:dyDescent="0.35">
      <c r="A32" s="1"/>
      <c r="B32" s="16"/>
      <c r="C32" s="16"/>
      <c r="D32" s="16"/>
      <c r="E32" s="8" t="s">
        <v>151</v>
      </c>
      <c r="F32" s="52">
        <f>1-(F29/F30)</f>
        <v>0.39624806627730025</v>
      </c>
      <c r="G32" s="1"/>
      <c r="H32" s="84" t="s">
        <v>152</v>
      </c>
      <c r="I32" s="1"/>
      <c r="J32" s="122"/>
      <c r="K32" s="15"/>
      <c r="L32" s="15"/>
      <c r="M32" s="15"/>
      <c r="N32" s="15"/>
      <c r="O32" s="127"/>
      <c r="P32" s="127"/>
      <c r="Q32" s="127"/>
      <c r="R32" s="127"/>
    </row>
    <row r="33" spans="1:18" ht="15.5" x14ac:dyDescent="0.35">
      <c r="A33" s="1"/>
      <c r="B33" s="1"/>
      <c r="C33" s="1"/>
      <c r="D33" s="1"/>
      <c r="E33" s="1"/>
      <c r="G33" s="1"/>
      <c r="H33" s="1"/>
      <c r="I33" s="1"/>
      <c r="J33" s="122"/>
      <c r="K33" s="15"/>
      <c r="L33" s="15"/>
      <c r="M33" s="15"/>
      <c r="N33" s="15"/>
      <c r="O33" s="127"/>
      <c r="P33" s="127"/>
      <c r="Q33" s="127"/>
      <c r="R33" s="127"/>
    </row>
    <row r="34" spans="1:18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22"/>
      <c r="K34" s="15"/>
      <c r="L34" s="15"/>
      <c r="M34" s="15"/>
      <c r="N34" s="15"/>
      <c r="O34" s="127"/>
      <c r="P34" s="127"/>
      <c r="Q34" s="127"/>
      <c r="R34" s="127"/>
    </row>
    <row r="35" spans="1:18" ht="17.5" x14ac:dyDescent="0.35">
      <c r="A35" s="8" t="s">
        <v>258</v>
      </c>
      <c r="B35" s="8"/>
      <c r="C35" s="8"/>
      <c r="D35" s="8"/>
      <c r="E35" s="8"/>
      <c r="F35" s="38">
        <f>+IF(F36&lt;F37,F36,F37)</f>
        <v>248.20571040144063</v>
      </c>
      <c r="G35" s="1"/>
      <c r="H35" s="84" t="s">
        <v>261</v>
      </c>
      <c r="I35" s="1"/>
      <c r="J35" s="122"/>
      <c r="K35" s="15"/>
      <c r="L35" s="15"/>
      <c r="M35" s="15"/>
      <c r="N35" s="15"/>
      <c r="O35" s="127"/>
      <c r="P35" s="127"/>
      <c r="Q35" s="127"/>
      <c r="R35" s="127"/>
    </row>
    <row r="36" spans="1:18" ht="17.5" x14ac:dyDescent="0.35">
      <c r="A36" s="8" t="s">
        <v>259</v>
      </c>
      <c r="B36" s="10"/>
      <c r="C36" s="10"/>
      <c r="D36" s="10"/>
      <c r="E36" s="10"/>
      <c r="F36" s="38">
        <f>+F13*(F13*1500 + (1-F13)*1000)</f>
        <v>411.25</v>
      </c>
      <c r="H36" s="84" t="s">
        <v>153</v>
      </c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5.5" x14ac:dyDescent="0.35">
      <c r="A37" s="9" t="str">
        <f>+IF(F35=F36,"Estimated DM Density controlled by Maximum Achievable Density","")</f>
        <v/>
      </c>
      <c r="B37" s="1"/>
      <c r="C37" s="1"/>
      <c r="D37" s="1"/>
      <c r="E37" s="1"/>
      <c r="F37" s="194">
        <f>(+F28*0.042 + 136.3)*(0.818+0.0446*F24)</f>
        <v>248.20571040144063</v>
      </c>
      <c r="K37" s="127"/>
      <c r="L37" s="127"/>
      <c r="M37" s="127"/>
      <c r="N37" s="127"/>
      <c r="O37" s="127"/>
      <c r="P37" s="127"/>
      <c r="Q37" s="127"/>
      <c r="R37" s="127"/>
    </row>
    <row r="38" spans="1:18" x14ac:dyDescent="0.25">
      <c r="J38" s="127"/>
      <c r="K38" s="127"/>
      <c r="L38" s="127"/>
      <c r="M38" s="127"/>
      <c r="N38" s="127"/>
      <c r="O38" s="127"/>
      <c r="P38" s="127"/>
      <c r="Q38" s="127"/>
      <c r="R38" s="127"/>
    </row>
    <row r="39" spans="1:18" x14ac:dyDescent="0.25"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18" x14ac:dyDescent="0.25"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x14ac:dyDescent="0.25"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x14ac:dyDescent="0.25">
      <c r="J42" s="127"/>
      <c r="K42" s="127"/>
      <c r="L42" s="127"/>
      <c r="M42" s="127"/>
      <c r="N42" s="127"/>
      <c r="O42" s="127"/>
      <c r="P42" s="127"/>
      <c r="Q42" s="127"/>
      <c r="R42" s="127"/>
    </row>
    <row r="43" spans="1:18" x14ac:dyDescent="0.25">
      <c r="J43" s="127"/>
      <c r="K43" s="127"/>
      <c r="L43" s="127"/>
      <c r="M43" s="127"/>
      <c r="N43" s="127"/>
      <c r="O43" s="127"/>
      <c r="P43" s="127"/>
      <c r="Q43" s="127"/>
      <c r="R43" s="127"/>
    </row>
    <row r="44" spans="1:18" x14ac:dyDescent="0.25">
      <c r="J44" s="127"/>
      <c r="K44" s="127"/>
      <c r="L44" s="127"/>
      <c r="M44" s="127"/>
      <c r="N44" s="127"/>
      <c r="O44" s="127"/>
      <c r="P44" s="127"/>
      <c r="Q44" s="127"/>
      <c r="R44" s="127"/>
    </row>
    <row r="45" spans="1:18" x14ac:dyDescent="0.25">
      <c r="J45" s="127"/>
      <c r="K45" s="127"/>
      <c r="L45" s="127"/>
      <c r="M45" s="127"/>
      <c r="N45" s="127"/>
      <c r="O45" s="127"/>
      <c r="P45" s="127"/>
      <c r="Q45" s="127"/>
      <c r="R45" s="127"/>
    </row>
    <row r="46" spans="1:18" x14ac:dyDescent="0.25">
      <c r="J46" s="127"/>
      <c r="K46" s="127"/>
      <c r="L46" s="127"/>
      <c r="M46" s="127"/>
      <c r="N46" s="127"/>
      <c r="O46" s="127"/>
      <c r="P46" s="127"/>
      <c r="Q46" s="127"/>
      <c r="R46" s="127"/>
    </row>
    <row r="47" spans="1:18" x14ac:dyDescent="0.25">
      <c r="J47" s="127"/>
      <c r="K47" s="127"/>
      <c r="L47" s="127"/>
      <c r="M47" s="127"/>
      <c r="N47" s="127"/>
      <c r="O47" s="127"/>
      <c r="P47" s="127"/>
      <c r="Q47" s="127"/>
      <c r="R47" s="127"/>
    </row>
    <row r="48" spans="1:18" x14ac:dyDescent="0.25">
      <c r="J48" s="127"/>
      <c r="K48" s="127"/>
      <c r="L48" s="127"/>
      <c r="M48" s="127"/>
      <c r="N48" s="127"/>
      <c r="O48" s="127"/>
      <c r="P48" s="127"/>
      <c r="Q48" s="127"/>
      <c r="R48" s="127"/>
    </row>
    <row r="49" spans="10:18" x14ac:dyDescent="0.25">
      <c r="J49" s="127"/>
      <c r="K49" s="127"/>
      <c r="L49" s="127"/>
      <c r="M49" s="127"/>
      <c r="N49" s="127"/>
      <c r="O49" s="127"/>
      <c r="P49" s="127"/>
      <c r="Q49" s="127"/>
      <c r="R49" s="127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39997558519241921"/>
  </sheetPr>
  <dimension ref="A1:S84"/>
  <sheetViews>
    <sheetView topLeftCell="A2" zoomScale="70" zoomScaleNormal="70" workbookViewId="0">
      <selection activeCell="J41" sqref="J41"/>
    </sheetView>
  </sheetViews>
  <sheetFormatPr defaultRowHeight="12.5" x14ac:dyDescent="0.25"/>
  <cols>
    <col min="5" max="5" width="32.7265625" customWidth="1"/>
    <col min="9" max="9" width="49.1796875" customWidth="1"/>
  </cols>
  <sheetData>
    <row r="1" spans="1:19" ht="18" x14ac:dyDescent="0.4">
      <c r="F1" s="166"/>
      <c r="H1" s="167" t="s">
        <v>216</v>
      </c>
    </row>
    <row r="2" spans="1:19" ht="18" x14ac:dyDescent="0.4">
      <c r="F2" s="166"/>
      <c r="H2" s="167" t="s">
        <v>217</v>
      </c>
    </row>
    <row r="3" spans="1:19" ht="18" x14ac:dyDescent="0.4">
      <c r="F3" s="166"/>
      <c r="H3" s="168" t="s">
        <v>218</v>
      </c>
    </row>
    <row r="4" spans="1:19" ht="18" x14ac:dyDescent="0.4">
      <c r="A4" s="150"/>
      <c r="F4" s="166"/>
      <c r="H4" s="168" t="s">
        <v>219</v>
      </c>
    </row>
    <row r="5" spans="1:19" ht="18" x14ac:dyDescent="0.4">
      <c r="A5" s="150"/>
      <c r="F5" s="166"/>
      <c r="H5" s="168" t="s">
        <v>220</v>
      </c>
    </row>
    <row r="6" spans="1:19" ht="18" x14ac:dyDescent="0.4">
      <c r="A6" s="150"/>
      <c r="F6" s="166"/>
      <c r="H6" s="168" t="s">
        <v>221</v>
      </c>
    </row>
    <row r="7" spans="1:19" ht="18" x14ac:dyDescent="0.4">
      <c r="A7" s="150" t="s">
        <v>222</v>
      </c>
      <c r="B7" s="150"/>
      <c r="C7" s="150"/>
      <c r="D7" s="150"/>
      <c r="E7" s="150"/>
      <c r="F7" s="169">
        <v>3.66</v>
      </c>
      <c r="H7" s="170" t="s">
        <v>223</v>
      </c>
    </row>
    <row r="8" spans="1:19" ht="15.5" x14ac:dyDescent="0.35">
      <c r="A8" s="150"/>
      <c r="B8" s="150"/>
      <c r="C8" s="150"/>
      <c r="D8" s="150"/>
      <c r="E8" s="150"/>
      <c r="F8" s="171"/>
    </row>
    <row r="9" spans="1:19" ht="15.5" x14ac:dyDescent="0.35">
      <c r="A9" s="150" t="s">
        <v>224</v>
      </c>
      <c r="B9" s="150"/>
      <c r="C9" s="150"/>
      <c r="D9" s="150"/>
      <c r="E9" s="150"/>
      <c r="F9" s="169">
        <v>4.88</v>
      </c>
      <c r="H9" s="127" t="s">
        <v>225</v>
      </c>
    </row>
    <row r="10" spans="1:19" ht="15.5" x14ac:dyDescent="0.35">
      <c r="A10" s="150"/>
      <c r="B10" s="150"/>
      <c r="C10" s="150"/>
      <c r="D10" s="150"/>
      <c r="E10" s="150"/>
      <c r="F10" s="171"/>
    </row>
    <row r="11" spans="1:19" ht="15.5" x14ac:dyDescent="0.35">
      <c r="A11" s="150" t="s">
        <v>226</v>
      </c>
      <c r="B11" s="150"/>
      <c r="C11" s="150"/>
      <c r="D11" s="150"/>
      <c r="E11" s="150"/>
      <c r="F11" s="169">
        <v>145.1</v>
      </c>
      <c r="H11" s="127" t="s">
        <v>227</v>
      </c>
    </row>
    <row r="12" spans="1:19" ht="15.5" x14ac:dyDescent="0.35">
      <c r="A12" s="150"/>
      <c r="B12" s="150"/>
      <c r="C12" s="150"/>
      <c r="D12" s="150"/>
      <c r="E12" s="150"/>
      <c r="F12" s="171"/>
    </row>
    <row r="13" spans="1:19" ht="20" x14ac:dyDescent="0.4">
      <c r="A13" s="150" t="s">
        <v>228</v>
      </c>
      <c r="B13" s="150"/>
      <c r="C13" s="150"/>
      <c r="D13" s="150"/>
      <c r="E13" s="150"/>
      <c r="F13" s="169">
        <v>0.35</v>
      </c>
      <c r="H13" s="127" t="s">
        <v>229</v>
      </c>
      <c r="Q13" s="172">
        <f>+F9</f>
        <v>4.88</v>
      </c>
    </row>
    <row r="14" spans="1:19" ht="20" x14ac:dyDescent="0.4">
      <c r="B14" s="150"/>
      <c r="C14" s="150"/>
      <c r="D14" s="150"/>
      <c r="E14" s="150"/>
      <c r="F14" s="173" t="str">
        <f>+IF(F13&gt;1,"nghell F13 rhaid bod yn llai na 1"," ")</f>
        <v xml:space="preserve"> </v>
      </c>
      <c r="S14" s="172">
        <f>+F7</f>
        <v>3.66</v>
      </c>
    </row>
    <row r="15" spans="1:19" ht="15.5" x14ac:dyDescent="0.35">
      <c r="A15" s="150" t="s">
        <v>230</v>
      </c>
      <c r="B15" s="150"/>
      <c r="C15" s="150"/>
      <c r="D15" s="150"/>
      <c r="E15" s="150"/>
      <c r="F15" s="169">
        <v>15.24</v>
      </c>
      <c r="H15" s="127" t="s">
        <v>231</v>
      </c>
    </row>
    <row r="16" spans="1:19" ht="15.5" x14ac:dyDescent="0.35">
      <c r="A16" s="150"/>
      <c r="B16" s="150"/>
      <c r="C16" s="150"/>
      <c r="D16" s="150"/>
      <c r="E16" s="150"/>
      <c r="F16" s="173" t="str">
        <f>+IF(F15&gt;60,"Ystyriwch haenen deneuach yn F15", " ")</f>
        <v xml:space="preserve"> </v>
      </c>
    </row>
    <row r="17" spans="1:19" ht="15.5" x14ac:dyDescent="0.35">
      <c r="A17" s="150" t="s">
        <v>232</v>
      </c>
      <c r="B17" s="150"/>
      <c r="C17" s="150"/>
      <c r="D17" s="150"/>
      <c r="E17" s="150" t="s">
        <v>233</v>
      </c>
      <c r="F17" s="171"/>
      <c r="H17" s="150" t="s">
        <v>234</v>
      </c>
    </row>
    <row r="18" spans="1:19" ht="15.5" x14ac:dyDescent="0.35">
      <c r="A18" s="154" t="s">
        <v>235</v>
      </c>
      <c r="B18" s="150"/>
      <c r="C18" s="150"/>
      <c r="D18" s="150"/>
      <c r="E18" s="150"/>
      <c r="F18" s="171"/>
      <c r="H18" s="150"/>
      <c r="K18" s="17"/>
      <c r="L18" s="17"/>
    </row>
    <row r="19" spans="1:19" ht="15.5" x14ac:dyDescent="0.35">
      <c r="A19" s="150" t="s">
        <v>236</v>
      </c>
      <c r="B19" s="150"/>
      <c r="C19" s="155"/>
      <c r="D19" s="150"/>
      <c r="E19" s="150"/>
      <c r="F19" s="174">
        <v>18144</v>
      </c>
      <c r="G19" s="156">
        <f>IF(F19&gt;0,H19,0)</f>
        <v>100</v>
      </c>
      <c r="H19" s="208">
        <v>100</v>
      </c>
      <c r="I19" s="153" t="str">
        <f>IF(AND(F19&gt;0,H19&lt;1), "Gwall yng nghell F19 neu H19", IF(AND(F19&lt;1,H19&gt;0),"Gwall yng nghell F19 neu H19"," "))</f>
        <v xml:space="preserve"> </v>
      </c>
      <c r="J19" s="128"/>
      <c r="K19" s="128"/>
      <c r="L19" s="128"/>
    </row>
    <row r="20" spans="1:19" ht="15.5" x14ac:dyDescent="0.35">
      <c r="A20" s="150" t="s">
        <v>237</v>
      </c>
      <c r="B20" s="150"/>
      <c r="C20" s="155"/>
      <c r="D20" s="150"/>
      <c r="E20" s="150"/>
      <c r="F20" s="169">
        <v>18144</v>
      </c>
      <c r="G20" s="156">
        <f>IF(F20&gt;0,H20,0)</f>
        <v>100</v>
      </c>
      <c r="H20" s="208">
        <v>100</v>
      </c>
      <c r="I20" s="153" t="str">
        <f>IF(AND(F20&gt;0,H20&lt;1), "Gwall yng nghell F20 neu H20", IF(AND(F20&lt;1,H20&gt;0),"Gwall yng nghell F20 neu H20"," "))</f>
        <v xml:space="preserve"> </v>
      </c>
      <c r="J20" s="128"/>
      <c r="K20" s="128"/>
      <c r="L20" s="128"/>
      <c r="M20" s="17"/>
    </row>
    <row r="21" spans="1:19" ht="15.5" x14ac:dyDescent="0.35">
      <c r="A21" s="150" t="s">
        <v>238</v>
      </c>
      <c r="B21" s="150"/>
      <c r="C21" s="155"/>
      <c r="D21" s="150"/>
      <c r="E21" s="150"/>
      <c r="F21" s="175">
        <v>0</v>
      </c>
      <c r="G21" s="156">
        <f>IF(F21&gt;0,H21,0)</f>
        <v>0</v>
      </c>
      <c r="H21" s="208">
        <v>0</v>
      </c>
      <c r="I21" s="153" t="str">
        <f>IF(AND(F21&gt;0,H21&lt;1), "Gwall yng nghell F21 neu H21", IF(AND(F21&lt;1,H21&gt;0),"Gwall yng nghell F21 neu H21"," "))</f>
        <v xml:space="preserve"> </v>
      </c>
      <c r="J21" s="128"/>
      <c r="K21" s="128"/>
      <c r="L21" s="128"/>
      <c r="M21" s="17"/>
    </row>
    <row r="22" spans="1:19" ht="15.5" x14ac:dyDescent="0.35">
      <c r="A22" s="150" t="s">
        <v>239</v>
      </c>
      <c r="B22" s="150"/>
      <c r="C22" s="155"/>
      <c r="D22" s="150"/>
      <c r="E22" s="150"/>
      <c r="F22" s="169">
        <v>0</v>
      </c>
      <c r="G22" s="156">
        <f>IF(F22&gt;0,H22,0)</f>
        <v>0</v>
      </c>
      <c r="H22" s="208">
        <v>0</v>
      </c>
      <c r="I22" s="153" t="str">
        <f>IF(AND(F22&gt;0,H22&lt;1), "Gwall yng nghell F22 neu H22", IF(AND(F22&lt;1,H22&gt;0),"Gwall yng nghell F22 neu H22"," "))</f>
        <v xml:space="preserve"> </v>
      </c>
      <c r="J22" s="128"/>
      <c r="K22" s="128"/>
      <c r="M22" s="17"/>
    </row>
    <row r="23" spans="1:19" ht="15.5" x14ac:dyDescent="0.35">
      <c r="A23" s="150" t="s">
        <v>240</v>
      </c>
      <c r="C23" s="150"/>
      <c r="D23" s="150"/>
      <c r="E23" s="150"/>
      <c r="F23" s="202">
        <f>+F19*H19/100 +F20*H20/100+F21*H21/100+F22*H22/100</f>
        <v>36288</v>
      </c>
      <c r="K23" s="128"/>
      <c r="M23" s="17"/>
    </row>
    <row r="24" spans="1:19" ht="15.5" x14ac:dyDescent="0.35">
      <c r="A24" s="150" t="s">
        <v>241</v>
      </c>
      <c r="B24" s="150"/>
      <c r="C24" s="150"/>
      <c r="D24" s="150"/>
      <c r="E24" s="150"/>
      <c r="F24" s="209">
        <f>+(+F7+F9)/2</f>
        <v>4.2699999999999996</v>
      </c>
      <c r="H24" s="165" t="s">
        <v>242</v>
      </c>
      <c r="I24" s="165"/>
      <c r="K24" s="128"/>
      <c r="M24" s="17"/>
    </row>
    <row r="25" spans="1:19" ht="15.5" x14ac:dyDescent="0.35">
      <c r="A25" s="154" t="s">
        <v>243</v>
      </c>
      <c r="B25" s="150"/>
      <c r="C25" s="150"/>
      <c r="D25" s="150"/>
      <c r="E25" s="150"/>
      <c r="F25" s="171"/>
    </row>
    <row r="26" spans="1:19" ht="15.5" x14ac:dyDescent="0.35">
      <c r="A26" s="150"/>
      <c r="B26" s="150"/>
      <c r="C26" s="150"/>
      <c r="E26" s="58" t="s">
        <v>244</v>
      </c>
      <c r="F26" s="189">
        <f>+(($F$19*$G$19+$F$20*$G$20+$F$21*$G$21+$F$22*$G$22)/IF(SUM($G$19:$G$22),SUM($G$19:$G$22),1)/$F$15)*($F$13*10*SUM($G$19:$G$22)/$F$11)^0.5</f>
        <v>2614.9499685899414</v>
      </c>
      <c r="H26" s="179" t="s">
        <v>245</v>
      </c>
      <c r="I26" s="179"/>
      <c r="J26" s="134"/>
      <c r="K26" s="180"/>
      <c r="L26" s="134"/>
      <c r="M26" s="134"/>
      <c r="N26" s="134"/>
      <c r="O26" s="127"/>
      <c r="P26" s="127"/>
      <c r="Q26" s="127"/>
      <c r="R26" s="127"/>
      <c r="S26" s="127"/>
    </row>
    <row r="27" spans="1:19" ht="17.5" x14ac:dyDescent="0.35">
      <c r="A27" s="58" t="s">
        <v>250</v>
      </c>
      <c r="B27" s="158"/>
      <c r="C27" s="158"/>
      <c r="D27" s="158"/>
      <c r="E27" s="158"/>
      <c r="F27" s="176">
        <f>F33/F13</f>
        <v>709.15917257554474</v>
      </c>
      <c r="H27" s="191" t="s">
        <v>254</v>
      </c>
      <c r="I27" s="177"/>
      <c r="J27" s="134"/>
      <c r="K27" s="134"/>
      <c r="L27" s="134"/>
      <c r="M27" s="134"/>
      <c r="N27" s="134"/>
      <c r="O27" s="127"/>
      <c r="P27" s="127"/>
      <c r="Q27" s="127"/>
      <c r="R27" s="127"/>
      <c r="S27" s="127"/>
    </row>
    <row r="28" spans="1:19" ht="17.5" x14ac:dyDescent="0.35">
      <c r="A28" s="58" t="s">
        <v>251</v>
      </c>
      <c r="B28" s="158"/>
      <c r="C28" s="158"/>
      <c r="D28" s="158"/>
      <c r="E28" s="158"/>
      <c r="F28" s="176">
        <f>F13*1499.47 +(1-F13)*999.65</f>
        <v>1174.587</v>
      </c>
      <c r="H28" s="177" t="s">
        <v>246</v>
      </c>
      <c r="I28" s="177"/>
      <c r="J28" s="134"/>
      <c r="K28" s="134"/>
      <c r="L28" s="134"/>
      <c r="M28" s="134"/>
      <c r="N28" s="134"/>
      <c r="O28" s="127"/>
      <c r="P28" s="127"/>
      <c r="Q28" s="127"/>
      <c r="R28" s="127"/>
      <c r="S28" s="127"/>
    </row>
    <row r="29" spans="1:19" x14ac:dyDescent="0.25">
      <c r="F29" s="166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5.5" x14ac:dyDescent="0.35">
      <c r="D30" s="58" t="s">
        <v>247</v>
      </c>
      <c r="E30" s="58"/>
      <c r="F30" s="178">
        <f>1-(F27/F28)</f>
        <v>0.39624806627730025</v>
      </c>
      <c r="H30" s="177" t="s">
        <v>248</v>
      </c>
      <c r="I30" s="159"/>
      <c r="J30" s="127"/>
      <c r="K30" s="128"/>
      <c r="L30" s="128"/>
      <c r="M30" s="128"/>
      <c r="N30" s="128"/>
      <c r="O30" s="127"/>
      <c r="P30" s="127"/>
      <c r="Q30" s="127"/>
      <c r="R30" s="127"/>
      <c r="S30" s="127"/>
    </row>
    <row r="31" spans="1:19" ht="15.5" x14ac:dyDescent="0.35">
      <c r="F31" s="166"/>
      <c r="J31" s="127"/>
      <c r="K31" s="128"/>
      <c r="L31" s="128"/>
      <c r="M31" s="128"/>
      <c r="N31" s="128"/>
      <c r="O31" s="127"/>
      <c r="P31" s="127"/>
      <c r="Q31" s="127"/>
      <c r="R31" s="127"/>
      <c r="S31" s="127"/>
    </row>
    <row r="32" spans="1:19" ht="15.5" x14ac:dyDescent="0.35">
      <c r="F32" s="166"/>
      <c r="J32" s="127"/>
      <c r="K32" s="128"/>
      <c r="L32" s="128"/>
      <c r="M32" s="128"/>
      <c r="N32" s="128"/>
      <c r="O32" s="127"/>
      <c r="P32" s="127"/>
      <c r="Q32" s="127"/>
      <c r="R32" s="127"/>
      <c r="S32" s="127"/>
    </row>
    <row r="33" spans="1:19" ht="17.5" x14ac:dyDescent="0.35">
      <c r="A33" s="58" t="s">
        <v>252</v>
      </c>
      <c r="B33" s="58"/>
      <c r="C33" s="58"/>
      <c r="D33" s="58"/>
      <c r="E33" s="58"/>
      <c r="F33" s="176">
        <f>+IF(F34&lt;F35,F34,F35)</f>
        <v>248.20571040144063</v>
      </c>
      <c r="H33" s="191" t="s">
        <v>255</v>
      </c>
      <c r="I33" s="159"/>
      <c r="J33" s="127"/>
      <c r="K33" s="128"/>
      <c r="L33" s="128"/>
      <c r="M33" s="128"/>
      <c r="N33" s="128"/>
      <c r="O33" s="127"/>
      <c r="P33" s="127"/>
      <c r="Q33" s="127"/>
      <c r="R33" s="127"/>
      <c r="S33" s="127"/>
    </row>
    <row r="34" spans="1:19" ht="17.5" x14ac:dyDescent="0.35">
      <c r="A34" s="58" t="s">
        <v>253</v>
      </c>
      <c r="B34" s="158"/>
      <c r="C34" s="158"/>
      <c r="D34" s="158"/>
      <c r="E34" s="158"/>
      <c r="F34" s="176">
        <f>+F13*(F13*1500 + (1-F13)*1000)</f>
        <v>411.25</v>
      </c>
      <c r="H34" s="177" t="s">
        <v>249</v>
      </c>
      <c r="I34" s="17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ht="15.5" x14ac:dyDescent="0.35">
      <c r="A35" s="160" t="str">
        <f>+IF(F33=F34,"Amc. Dwysedd Sych yn cael ei reoli gan y Dwysedd Sych Uchaf Posib","")</f>
        <v/>
      </c>
      <c r="F35" s="187">
        <f>(+F26*0.042 + 136.3)*(0.818+0.0446*F24)</f>
        <v>248.20571040144063</v>
      </c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19" x14ac:dyDescent="0.25">
      <c r="F36" s="166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19" x14ac:dyDescent="0.25">
      <c r="F37" s="166"/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x14ac:dyDescent="0.25">
      <c r="F38" s="166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x14ac:dyDescent="0.25">
      <c r="F39" s="166"/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x14ac:dyDescent="0.25">
      <c r="F40" s="166"/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19" x14ac:dyDescent="0.25">
      <c r="F41" s="166"/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x14ac:dyDescent="0.25">
      <c r="F42" s="166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19" x14ac:dyDescent="0.25">
      <c r="F43" s="166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19" x14ac:dyDescent="0.25">
      <c r="F44" s="166"/>
      <c r="J44" s="127"/>
      <c r="K44" s="127"/>
      <c r="L44" s="127"/>
      <c r="M44" s="127"/>
      <c r="N44" s="127"/>
      <c r="O44" s="127"/>
      <c r="P44" s="127"/>
      <c r="Q44" s="127"/>
      <c r="R44" s="127"/>
      <c r="S44" s="127"/>
    </row>
    <row r="45" spans="1:19" x14ac:dyDescent="0.25">
      <c r="F45" s="166"/>
      <c r="J45" s="127"/>
      <c r="K45" s="127"/>
      <c r="L45" s="127"/>
      <c r="M45" s="127"/>
      <c r="N45" s="127"/>
      <c r="O45" s="127"/>
      <c r="P45" s="127"/>
      <c r="Q45" s="127"/>
      <c r="R45" s="127"/>
      <c r="S45" s="127"/>
    </row>
    <row r="46" spans="1:19" x14ac:dyDescent="0.25">
      <c r="F46" s="166"/>
      <c r="J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:19" x14ac:dyDescent="0.25">
      <c r="F47" s="166"/>
      <c r="J47" s="127"/>
      <c r="K47" s="127"/>
      <c r="L47" s="127"/>
      <c r="M47" s="127"/>
      <c r="N47" s="127"/>
      <c r="O47" s="127"/>
      <c r="P47" s="127"/>
      <c r="Q47" s="127"/>
      <c r="R47" s="127"/>
      <c r="S47" s="127"/>
    </row>
    <row r="48" spans="1:19" x14ac:dyDescent="0.25">
      <c r="F48" s="166"/>
      <c r="J48" s="127"/>
      <c r="K48" s="127"/>
      <c r="L48" s="127"/>
      <c r="M48" s="127"/>
      <c r="N48" s="127"/>
      <c r="O48" s="127"/>
      <c r="P48" s="127"/>
      <c r="Q48" s="127"/>
      <c r="R48" s="127"/>
      <c r="S48" s="127"/>
    </row>
    <row r="49" spans="6:6" x14ac:dyDescent="0.25">
      <c r="F49" s="166"/>
    </row>
    <row r="50" spans="6:6" x14ac:dyDescent="0.25">
      <c r="F50" s="166"/>
    </row>
    <row r="51" spans="6:6" x14ac:dyDescent="0.25">
      <c r="F51" s="166"/>
    </row>
    <row r="52" spans="6:6" x14ac:dyDescent="0.25">
      <c r="F52" s="166"/>
    </row>
    <row r="53" spans="6:6" x14ac:dyDescent="0.25">
      <c r="F53" s="166"/>
    </row>
    <row r="54" spans="6:6" x14ac:dyDescent="0.25">
      <c r="F54" s="166"/>
    </row>
    <row r="55" spans="6:6" x14ac:dyDescent="0.25">
      <c r="F55" s="166"/>
    </row>
    <row r="56" spans="6:6" x14ac:dyDescent="0.25">
      <c r="F56" s="166"/>
    </row>
    <row r="57" spans="6:6" x14ac:dyDescent="0.25">
      <c r="F57" s="166"/>
    </row>
    <row r="58" spans="6:6" x14ac:dyDescent="0.25">
      <c r="F58" s="166"/>
    </row>
    <row r="59" spans="6:6" x14ac:dyDescent="0.25">
      <c r="F59" s="166"/>
    </row>
    <row r="60" spans="6:6" x14ac:dyDescent="0.25">
      <c r="F60" s="166"/>
    </row>
    <row r="61" spans="6:6" x14ac:dyDescent="0.25">
      <c r="F61" s="166"/>
    </row>
    <row r="62" spans="6:6" x14ac:dyDescent="0.25">
      <c r="F62" s="166"/>
    </row>
    <row r="63" spans="6:6" x14ac:dyDescent="0.25">
      <c r="F63" s="166"/>
    </row>
    <row r="64" spans="6:6" x14ac:dyDescent="0.25">
      <c r="F64" s="166"/>
    </row>
    <row r="65" spans="6:6" x14ac:dyDescent="0.25">
      <c r="F65" s="166"/>
    </row>
    <row r="66" spans="6:6" x14ac:dyDescent="0.25">
      <c r="F66" s="166"/>
    </row>
    <row r="67" spans="6:6" x14ac:dyDescent="0.25">
      <c r="F67" s="166"/>
    </row>
    <row r="68" spans="6:6" x14ac:dyDescent="0.25">
      <c r="F68" s="166"/>
    </row>
    <row r="69" spans="6:6" x14ac:dyDescent="0.25">
      <c r="F69" s="166"/>
    </row>
    <row r="70" spans="6:6" x14ac:dyDescent="0.25">
      <c r="F70" s="166"/>
    </row>
    <row r="71" spans="6:6" x14ac:dyDescent="0.25">
      <c r="F71" s="166"/>
    </row>
    <row r="72" spans="6:6" x14ac:dyDescent="0.25">
      <c r="F72" s="166"/>
    </row>
    <row r="73" spans="6:6" x14ac:dyDescent="0.25">
      <c r="F73" s="166"/>
    </row>
    <row r="74" spans="6:6" x14ac:dyDescent="0.25">
      <c r="F74" s="166"/>
    </row>
    <row r="75" spans="6:6" x14ac:dyDescent="0.25">
      <c r="F75" s="166"/>
    </row>
    <row r="76" spans="6:6" x14ac:dyDescent="0.25">
      <c r="F76" s="166"/>
    </row>
    <row r="77" spans="6:6" x14ac:dyDescent="0.25">
      <c r="F77" s="166"/>
    </row>
    <row r="78" spans="6:6" x14ac:dyDescent="0.25">
      <c r="F78" s="166"/>
    </row>
    <row r="79" spans="6:6" x14ac:dyDescent="0.25">
      <c r="F79" s="166"/>
    </row>
    <row r="80" spans="6:6" x14ac:dyDescent="0.25">
      <c r="F80" s="166"/>
    </row>
    <row r="81" spans="6:6" x14ac:dyDescent="0.25">
      <c r="F81" s="166"/>
    </row>
    <row r="82" spans="6:6" x14ac:dyDescent="0.25">
      <c r="F82" s="166"/>
    </row>
    <row r="83" spans="6:6" x14ac:dyDescent="0.25">
      <c r="F83" s="166"/>
    </row>
    <row r="84" spans="6:6" x14ac:dyDescent="0.25">
      <c r="F84" s="166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P44"/>
  <sheetViews>
    <sheetView zoomScale="70" zoomScaleNormal="70" workbookViewId="0">
      <selection activeCell="H39" sqref="H39"/>
    </sheetView>
  </sheetViews>
  <sheetFormatPr defaultRowHeight="12.5" x14ac:dyDescent="0.25"/>
  <cols>
    <col min="5" max="5" width="54.453125" customWidth="1"/>
    <col min="7" max="7" width="4.1796875" customWidth="1"/>
    <col min="8" max="8" width="14.26953125" customWidth="1"/>
  </cols>
  <sheetData>
    <row r="1" spans="1:15" ht="15.5" x14ac:dyDescent="0.35">
      <c r="H1" s="148"/>
    </row>
    <row r="2" spans="1:15" ht="15.5" x14ac:dyDescent="0.35">
      <c r="H2" s="148" t="s">
        <v>196</v>
      </c>
    </row>
    <row r="3" spans="1:15" ht="13" x14ac:dyDescent="0.3">
      <c r="H3" s="149" t="s">
        <v>13</v>
      </c>
    </row>
    <row r="4" spans="1:15" ht="13" x14ac:dyDescent="0.3">
      <c r="H4" s="149" t="s">
        <v>32</v>
      </c>
    </row>
    <row r="5" spans="1:15" ht="13" x14ac:dyDescent="0.3">
      <c r="H5" s="149" t="s">
        <v>31</v>
      </c>
    </row>
    <row r="6" spans="1:15" ht="13" x14ac:dyDescent="0.3">
      <c r="H6" s="149" t="s">
        <v>0</v>
      </c>
    </row>
    <row r="7" spans="1:15" ht="15.5" x14ac:dyDescent="0.35">
      <c r="A7" s="150" t="s">
        <v>197</v>
      </c>
      <c r="B7" s="150"/>
      <c r="C7" s="150"/>
      <c r="D7" s="150"/>
      <c r="E7" s="150"/>
      <c r="F7" s="49">
        <v>3.66</v>
      </c>
      <c r="H7" s="151">
        <v>38776</v>
      </c>
    </row>
    <row r="8" spans="1:15" ht="15.5" x14ac:dyDescent="0.35">
      <c r="A8" s="150"/>
      <c r="B8" s="150"/>
      <c r="C8" s="150"/>
      <c r="D8" s="150"/>
      <c r="E8" s="150"/>
      <c r="F8" s="150"/>
    </row>
    <row r="9" spans="1:15" ht="15.5" x14ac:dyDescent="0.35">
      <c r="A9" s="150" t="s">
        <v>198</v>
      </c>
      <c r="B9" s="150"/>
      <c r="C9" s="150"/>
      <c r="D9" s="150"/>
      <c r="E9" s="150"/>
      <c r="F9" s="49">
        <v>4.88</v>
      </c>
      <c r="H9" t="s">
        <v>199</v>
      </c>
    </row>
    <row r="10" spans="1:15" ht="15.5" x14ac:dyDescent="0.35">
      <c r="A10" s="150"/>
      <c r="B10" s="150"/>
      <c r="C10" s="150"/>
      <c r="D10" s="150"/>
      <c r="E10" s="150"/>
      <c r="F10" s="150"/>
    </row>
    <row r="11" spans="1:15" ht="15.5" x14ac:dyDescent="0.35">
      <c r="A11" s="150" t="s">
        <v>200</v>
      </c>
      <c r="B11" s="150"/>
      <c r="C11" s="150"/>
      <c r="D11" s="150"/>
      <c r="E11" s="150"/>
      <c r="F11" s="183">
        <v>145.1</v>
      </c>
      <c r="H11" t="s">
        <v>201</v>
      </c>
    </row>
    <row r="12" spans="1:15" ht="20" x14ac:dyDescent="0.4">
      <c r="A12" s="150"/>
      <c r="B12" s="150"/>
      <c r="C12" s="150"/>
      <c r="D12" s="150"/>
      <c r="E12" s="150"/>
      <c r="F12" s="150"/>
      <c r="M12" s="152">
        <f>+F9</f>
        <v>4.88</v>
      </c>
    </row>
    <row r="13" spans="1:15" ht="15.5" x14ac:dyDescent="0.35">
      <c r="A13" s="150" t="s">
        <v>202</v>
      </c>
      <c r="B13" s="150"/>
      <c r="C13" s="150"/>
      <c r="D13" s="150"/>
      <c r="E13" s="150"/>
      <c r="F13" s="181">
        <v>0.35</v>
      </c>
      <c r="H13" s="127" t="s">
        <v>203</v>
      </c>
    </row>
    <row r="14" spans="1:15" ht="20" x14ac:dyDescent="0.4">
      <c r="B14" s="150"/>
      <c r="C14" s="150"/>
      <c r="D14" s="150"/>
      <c r="E14" s="150"/>
      <c r="F14" s="153" t="str">
        <f>+IF(F13&gt;1,"F13 must be less than 1"," ")</f>
        <v xml:space="preserve"> </v>
      </c>
      <c r="O14" s="152">
        <f>+F7</f>
        <v>3.66</v>
      </c>
    </row>
    <row r="15" spans="1:15" ht="15.5" x14ac:dyDescent="0.35">
      <c r="A15" s="150" t="s">
        <v>204</v>
      </c>
      <c r="B15" s="150"/>
      <c r="C15" s="150"/>
      <c r="D15" s="150"/>
      <c r="E15" s="150"/>
      <c r="F15" s="49">
        <v>15.24</v>
      </c>
      <c r="H15" s="218" t="s">
        <v>270</v>
      </c>
    </row>
    <row r="16" spans="1:15" ht="15.5" x14ac:dyDescent="0.35">
      <c r="A16" s="150"/>
      <c r="B16" s="150"/>
      <c r="C16" s="150"/>
      <c r="D16" s="150"/>
      <c r="E16" s="150"/>
      <c r="F16" s="153" t="str">
        <f>+IF(F15&gt;60,"Consider a thinner layer in cell F15", " ")</f>
        <v xml:space="preserve"> </v>
      </c>
    </row>
    <row r="17" spans="1:16" ht="15.5" x14ac:dyDescent="0.35">
      <c r="A17" s="150" t="s">
        <v>205</v>
      </c>
      <c r="B17" s="150"/>
      <c r="C17" s="150"/>
      <c r="D17" s="150"/>
      <c r="E17" s="150" t="s">
        <v>215</v>
      </c>
      <c r="F17" s="150"/>
      <c r="H17" s="150" t="s">
        <v>206</v>
      </c>
    </row>
    <row r="18" spans="1:16" ht="15.5" x14ac:dyDescent="0.35">
      <c r="A18" s="154" t="s">
        <v>41</v>
      </c>
      <c r="B18" s="150"/>
      <c r="C18" s="150"/>
      <c r="D18" s="150"/>
      <c r="E18" s="150"/>
      <c r="F18" s="150"/>
      <c r="H18" s="150"/>
      <c r="K18" s="17"/>
      <c r="L18" s="17"/>
    </row>
    <row r="19" spans="1:16" ht="15.5" x14ac:dyDescent="0.35">
      <c r="A19" s="150" t="s">
        <v>2</v>
      </c>
      <c r="B19" s="150"/>
      <c r="C19" s="155" t="s">
        <v>207</v>
      </c>
      <c r="D19" s="150"/>
      <c r="E19" s="150"/>
      <c r="F19" s="50">
        <v>18144</v>
      </c>
      <c r="G19" s="156">
        <f>IF(F19&gt;0,H19,0)</f>
        <v>100</v>
      </c>
      <c r="H19" s="208">
        <v>100</v>
      </c>
      <c r="I19" s="153" t="str">
        <f>IF(AND(F19&gt;0,H19&lt;1), "Hiba a cellában F19 vagy H19", IF(AND(F19&lt;1,H19&gt;0),"Hiba a cellában F19 vagy H19"," "))</f>
        <v xml:space="preserve"> </v>
      </c>
      <c r="J19" s="188"/>
      <c r="K19" s="128"/>
      <c r="L19" s="128"/>
    </row>
    <row r="20" spans="1:16" ht="15.5" x14ac:dyDescent="0.35">
      <c r="A20" s="150" t="s">
        <v>3</v>
      </c>
      <c r="B20" s="150"/>
      <c r="C20" s="155" t="s">
        <v>207</v>
      </c>
      <c r="D20" s="150"/>
      <c r="E20" s="150"/>
      <c r="F20" s="49">
        <v>18144</v>
      </c>
      <c r="G20" s="156">
        <f>IF(F20&gt;0,H20,0)</f>
        <v>100</v>
      </c>
      <c r="H20" s="208">
        <v>100</v>
      </c>
      <c r="I20" s="153" t="str">
        <f>IF(AND(F20&gt;0,H20&lt;1), "Hiba a cellában F20 vagy H20", IF(AND(F20&lt;1,H20&gt;0),"Hiba a cellában F20 vagy H20"," "))</f>
        <v xml:space="preserve"> </v>
      </c>
      <c r="J20" s="128"/>
      <c r="K20" s="128"/>
      <c r="L20" s="128"/>
      <c r="M20" s="17"/>
    </row>
    <row r="21" spans="1:16" ht="15.5" x14ac:dyDescent="0.35">
      <c r="A21" s="150" t="s">
        <v>4</v>
      </c>
      <c r="B21" s="150"/>
      <c r="C21" s="155" t="s">
        <v>207</v>
      </c>
      <c r="D21" s="150"/>
      <c r="E21" s="150"/>
      <c r="F21" s="51"/>
      <c r="G21" s="156">
        <f>IF(F21&gt;0,H21,0)</f>
        <v>0</v>
      </c>
      <c r="H21" s="208"/>
      <c r="I21" s="153" t="str">
        <f>IF(AND(F21&gt;0,H21&lt;1), "Hiba a cellában F21 vagy H21", IF(AND(F21&lt;1,H21&gt;0),"Hiba a cellában F21 vagy H21"," "))</f>
        <v xml:space="preserve"> </v>
      </c>
      <c r="J21" s="128"/>
      <c r="K21" s="128"/>
      <c r="L21" s="128"/>
      <c r="M21" s="17"/>
    </row>
    <row r="22" spans="1:16" ht="15.5" x14ac:dyDescent="0.35">
      <c r="A22" s="150" t="s">
        <v>5</v>
      </c>
      <c r="B22" s="150"/>
      <c r="C22" s="155" t="s">
        <v>207</v>
      </c>
      <c r="D22" s="150"/>
      <c r="E22" s="150"/>
      <c r="F22" s="49"/>
      <c r="G22" s="156">
        <f>IF(F22&gt;0,H22,0)</f>
        <v>0</v>
      </c>
      <c r="H22" s="208"/>
      <c r="I22" s="153" t="str">
        <f>IF(AND(F22&gt;0,H22&lt;1), "Hiba a cellában F22 vagy H22", IF(AND(F22&lt;1,H22&gt;0),"Hiba a cellában F22 vagy H22"," "))</f>
        <v xml:space="preserve"> </v>
      </c>
      <c r="J22" s="128"/>
      <c r="K22" s="128"/>
      <c r="M22" s="17"/>
    </row>
    <row r="23" spans="1:16" ht="15.5" x14ac:dyDescent="0.35">
      <c r="A23" s="150" t="s">
        <v>208</v>
      </c>
      <c r="C23" s="150"/>
      <c r="D23" s="150"/>
      <c r="E23" s="150"/>
      <c r="F23" s="200">
        <f>+F19*H19/100 +F20*H20/100+F21*H21/100+F22*H22/100</f>
        <v>36288</v>
      </c>
      <c r="K23" s="128"/>
      <c r="M23" s="17"/>
    </row>
    <row r="24" spans="1:16" ht="15.5" x14ac:dyDescent="0.35">
      <c r="A24" s="150" t="s">
        <v>209</v>
      </c>
      <c r="B24" s="150"/>
      <c r="C24" s="150"/>
      <c r="D24" s="150"/>
      <c r="E24" s="150"/>
      <c r="F24" s="206">
        <f>+(+F7+F9)/2</f>
        <v>4.2699999999999996</v>
      </c>
      <c r="H24" s="216" t="s">
        <v>210</v>
      </c>
      <c r="I24" s="165"/>
      <c r="J24" s="165"/>
      <c r="K24" s="128"/>
      <c r="M24" s="17"/>
    </row>
    <row r="25" spans="1:16" ht="15.5" x14ac:dyDescent="0.35">
      <c r="A25" s="150"/>
      <c r="B25" s="150"/>
      <c r="C25" s="150"/>
      <c r="D25" s="150"/>
      <c r="E25" s="150"/>
      <c r="F25" s="157"/>
    </row>
    <row r="27" spans="1:16" ht="15.5" x14ac:dyDescent="0.35">
      <c r="A27" s="154" t="s">
        <v>68</v>
      </c>
      <c r="B27" s="150"/>
      <c r="C27" s="150"/>
      <c r="D27" s="150"/>
      <c r="E27" s="150"/>
      <c r="F27" s="150"/>
    </row>
    <row r="28" spans="1:16" ht="15.5" x14ac:dyDescent="0.35">
      <c r="A28" s="150"/>
      <c r="B28" s="150"/>
      <c r="C28" s="150"/>
      <c r="D28" s="58" t="s">
        <v>211</v>
      </c>
      <c r="E28" s="58"/>
      <c r="F28" s="195">
        <f>+(($F$19*$G$19+$F$20*$G$20+$F$21*$G$21+$F$22*$G$22)/IF(SUM($G$19:$G$22),SUM($G$19:$G$22),1)/$F$15)*($F$13*10*SUM($G$19:$G$22)/$F$11)^0.5</f>
        <v>2614.9499685899414</v>
      </c>
      <c r="H28" s="162" t="s">
        <v>212</v>
      </c>
      <c r="I28" s="162"/>
      <c r="J28" s="162"/>
      <c r="K28" s="161"/>
    </row>
    <row r="29" spans="1:16" ht="17.5" x14ac:dyDescent="0.35">
      <c r="A29" s="8" t="s">
        <v>264</v>
      </c>
      <c r="B29" s="58"/>
      <c r="C29" s="58"/>
      <c r="D29" s="58"/>
      <c r="E29" s="58"/>
      <c r="F29" s="214">
        <f>F35/F13</f>
        <v>709.15917257554474</v>
      </c>
      <c r="H29" s="220" t="s">
        <v>271</v>
      </c>
      <c r="I29" s="163"/>
      <c r="J29" s="163"/>
      <c r="K29" s="163"/>
      <c r="L29" s="163"/>
      <c r="M29" s="163"/>
      <c r="N29" s="163"/>
      <c r="O29" s="163"/>
      <c r="P29" s="163"/>
    </row>
    <row r="30" spans="1:16" ht="17.5" x14ac:dyDescent="0.35">
      <c r="A30" s="8" t="s">
        <v>265</v>
      </c>
      <c r="B30" s="179"/>
      <c r="C30" s="179"/>
      <c r="D30" s="179"/>
      <c r="E30" s="179"/>
      <c r="F30" s="214">
        <f>F13*1499.47 +(1-F13)*999.65</f>
        <v>1174.587</v>
      </c>
      <c r="H30" s="220" t="s">
        <v>267</v>
      </c>
      <c r="I30" s="163"/>
      <c r="J30" s="163"/>
      <c r="K30" s="217"/>
      <c r="L30" s="217"/>
      <c r="M30" s="217"/>
      <c r="N30" s="217"/>
      <c r="O30" s="217"/>
      <c r="P30" s="217"/>
    </row>
    <row r="31" spans="1:16" x14ac:dyDescent="0.25">
      <c r="H31" s="218"/>
      <c r="J31" s="218"/>
      <c r="K31" s="218"/>
      <c r="L31" s="218"/>
      <c r="M31" s="219"/>
      <c r="N31" s="219"/>
      <c r="O31" s="219"/>
      <c r="P31" s="219"/>
    </row>
    <row r="32" spans="1:16" ht="15.5" x14ac:dyDescent="0.35">
      <c r="A32" s="199"/>
      <c r="D32" s="8" t="s">
        <v>266</v>
      </c>
      <c r="E32" s="179"/>
      <c r="F32" s="215">
        <f>1-(F29/F30)</f>
        <v>0.39624806627730025</v>
      </c>
      <c r="H32" s="220" t="s">
        <v>268</v>
      </c>
      <c r="I32" s="217"/>
      <c r="J32" s="217"/>
      <c r="K32" s="207"/>
      <c r="L32" s="207"/>
      <c r="M32" s="207"/>
      <c r="N32" s="207"/>
      <c r="O32" s="217"/>
      <c r="P32" s="217"/>
    </row>
    <row r="33" spans="1:16" ht="15.5" x14ac:dyDescent="0.35">
      <c r="H33" s="218"/>
      <c r="I33" s="218"/>
      <c r="J33" s="218"/>
      <c r="K33" s="128"/>
      <c r="L33" s="128"/>
      <c r="M33" s="130"/>
      <c r="N33" s="130"/>
      <c r="O33" s="219"/>
      <c r="P33" s="219"/>
    </row>
    <row r="34" spans="1:16" ht="15.5" x14ac:dyDescent="0.35">
      <c r="H34" s="218"/>
      <c r="I34" s="218"/>
      <c r="J34" s="218"/>
      <c r="K34" s="130"/>
      <c r="L34" s="128"/>
      <c r="M34" s="130"/>
      <c r="N34" s="130"/>
      <c r="O34" s="219"/>
      <c r="P34" s="219"/>
    </row>
    <row r="35" spans="1:16" ht="17.5" x14ac:dyDescent="0.35">
      <c r="A35" s="58" t="s">
        <v>213</v>
      </c>
      <c r="B35" s="179"/>
      <c r="C35" s="179"/>
      <c r="D35" s="179"/>
      <c r="E35" s="179"/>
      <c r="F35" s="214">
        <f>+IF(F36&lt;F37,F36,F37)</f>
        <v>248.20571040144063</v>
      </c>
      <c r="H35" s="217" t="s">
        <v>272</v>
      </c>
      <c r="I35" s="163"/>
      <c r="J35" s="163"/>
      <c r="K35" s="207"/>
      <c r="L35" s="207"/>
      <c r="M35" s="207"/>
      <c r="N35" s="207"/>
      <c r="O35" s="217"/>
      <c r="P35" s="217"/>
    </row>
    <row r="36" spans="1:16" ht="17.5" x14ac:dyDescent="0.35">
      <c r="A36" s="58" t="s">
        <v>214</v>
      </c>
      <c r="B36" s="158"/>
      <c r="C36" s="158"/>
      <c r="D36" s="158"/>
      <c r="E36" s="158"/>
      <c r="F36" s="38">
        <f>+F13*(F13*1500 + (1-F13)*1000)</f>
        <v>411.25</v>
      </c>
      <c r="H36" s="220" t="s">
        <v>269</v>
      </c>
      <c r="I36" s="164"/>
      <c r="J36" s="217"/>
      <c r="K36" s="163"/>
      <c r="L36" s="217"/>
      <c r="M36" s="217"/>
      <c r="N36" s="217"/>
      <c r="O36" s="217"/>
      <c r="P36" s="217"/>
    </row>
    <row r="37" spans="1:16" ht="15.5" x14ac:dyDescent="0.35">
      <c r="F37" s="187">
        <f>(+F28*0.042 + 136.3)*(0.818+0.0446*F24)</f>
        <v>248.20571040144063</v>
      </c>
      <c r="H37" s="218"/>
      <c r="I37" s="218"/>
      <c r="J37" s="218"/>
      <c r="K37" s="218"/>
      <c r="L37" s="218"/>
      <c r="M37" s="218"/>
      <c r="N37" s="218"/>
      <c r="O37" s="218"/>
      <c r="P37" s="218"/>
    </row>
    <row r="38" spans="1:16" ht="13.5" x14ac:dyDescent="0.35">
      <c r="H38" s="127"/>
      <c r="I38" s="127"/>
      <c r="J38" s="192" t="s">
        <v>194</v>
      </c>
      <c r="K38" s="127"/>
      <c r="L38" s="127"/>
      <c r="M38" s="127"/>
      <c r="N38" s="127"/>
      <c r="O38" s="127"/>
      <c r="P38" s="127"/>
    </row>
    <row r="39" spans="1:16" ht="13.5" x14ac:dyDescent="0.35">
      <c r="H39" s="127"/>
      <c r="I39" s="127"/>
      <c r="J39" s="193">
        <f>(F28*0.042+136.3)*(0.818+0.0446*F24)</f>
        <v>248.20571040144063</v>
      </c>
      <c r="K39" s="127"/>
      <c r="L39" s="127"/>
      <c r="M39" s="127"/>
      <c r="N39" s="127"/>
      <c r="O39" s="127"/>
      <c r="P39" s="127"/>
    </row>
    <row r="40" spans="1:16" x14ac:dyDescent="0.25">
      <c r="H40" s="127"/>
      <c r="I40" s="127"/>
      <c r="J40" s="127"/>
      <c r="K40" s="127"/>
      <c r="L40" s="127"/>
      <c r="M40" s="127"/>
      <c r="N40" s="127"/>
      <c r="O40" s="127"/>
      <c r="P40" s="127"/>
    </row>
    <row r="41" spans="1:16" x14ac:dyDescent="0.25">
      <c r="H41" s="127"/>
      <c r="I41" s="127"/>
      <c r="J41" s="127"/>
      <c r="K41" s="127"/>
      <c r="L41" s="127"/>
      <c r="M41" s="127"/>
      <c r="N41" s="127"/>
      <c r="O41" s="127"/>
      <c r="P41" s="127"/>
    </row>
    <row r="42" spans="1:16" x14ac:dyDescent="0.25">
      <c r="H42" s="127"/>
      <c r="I42" s="127"/>
      <c r="J42" s="127"/>
      <c r="K42" s="127"/>
      <c r="L42" s="127"/>
      <c r="M42" s="127"/>
      <c r="N42" s="127"/>
      <c r="O42" s="127"/>
      <c r="P42" s="127"/>
    </row>
    <row r="43" spans="1:16" x14ac:dyDescent="0.25">
      <c r="H43" s="127"/>
      <c r="I43" s="127"/>
      <c r="J43" s="127"/>
      <c r="K43" s="127"/>
      <c r="L43" s="127"/>
      <c r="M43" s="127"/>
      <c r="N43" s="127"/>
      <c r="O43" s="127"/>
      <c r="P43" s="127"/>
    </row>
    <row r="44" spans="1:16" x14ac:dyDescent="0.25">
      <c r="H44" s="127"/>
      <c r="I44" s="127"/>
      <c r="J44" s="127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English Units</vt:lpstr>
      <vt:lpstr>English (Metric Units)</vt:lpstr>
      <vt:lpstr>Espanol</vt:lpstr>
      <vt:lpstr>Espanol - (unidades métricas)</vt:lpstr>
      <vt:lpstr>French</vt:lpstr>
      <vt:lpstr>Russian</vt:lpstr>
      <vt:lpstr>Welsh (Unedau Metrig-Cymraeg)</vt:lpstr>
      <vt:lpstr>Hungarian</vt:lpstr>
    </vt:vector>
  </TitlesOfParts>
  <Company>Biological Systems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creator>Brian J. Holmes</dc:creator>
  <cp:lastModifiedBy>Stephanie Cold</cp:lastModifiedBy>
  <cp:lastPrinted>1999-06-29T14:56:49Z</cp:lastPrinted>
  <dcterms:created xsi:type="dcterms:W3CDTF">1999-04-02T15:53:20Z</dcterms:created>
  <dcterms:modified xsi:type="dcterms:W3CDTF">2020-05-08T13:06:59Z</dcterms:modified>
</cp:coreProperties>
</file>