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9260" windowHeight="7140" tabRatio="701"/>
  </bookViews>
  <sheets>
    <sheet name="English Units" sheetId="1" r:id="rId1"/>
    <sheet name="English (Metric Units)" sheetId="3" r:id="rId2"/>
    <sheet name="Espanol (English Units)" sheetId="6" r:id="rId3"/>
    <sheet name="Español - (unidades métricas)" sheetId="5" r:id="rId4"/>
  </sheets>
  <definedNames>
    <definedName name="_xlnm._FilterDatabase" localSheetId="0" hidden="1">'English Units'!$F$3:$F$4</definedName>
  </definedNames>
  <calcPr calcId="125725"/>
</workbook>
</file>

<file path=xl/calcChain.xml><?xml version="1.0" encoding="utf-8"?>
<calcChain xmlns="http://schemas.openxmlformats.org/spreadsheetml/2006/main">
  <c r="B9" i="5"/>
  <c r="A5" i="6"/>
  <c r="A3"/>
  <c r="A5" i="3"/>
  <c r="A5" i="1"/>
  <c r="E21" i="5"/>
  <c r="E20"/>
  <c r="E19"/>
  <c r="E18"/>
  <c r="I22" i="6"/>
  <c r="I21"/>
  <c r="I20"/>
  <c r="I19"/>
  <c r="A4"/>
  <c r="C12" i="5"/>
  <c r="L16" s="1"/>
  <c r="M4" i="6"/>
  <c r="A3" i="1"/>
  <c r="A4"/>
  <c r="F16" i="6"/>
  <c r="F14"/>
  <c r="F36"/>
  <c r="F30"/>
  <c r="F23"/>
  <c r="G22"/>
  <c r="G21"/>
  <c r="J39"/>
  <c r="F8" s="1"/>
  <c r="F24" s="1"/>
  <c r="G20"/>
  <c r="G19"/>
  <c r="I11"/>
  <c r="G19" i="1"/>
  <c r="G20"/>
  <c r="G21"/>
  <c r="G22"/>
  <c r="K20"/>
  <c r="F8" s="1"/>
  <c r="F24" s="1"/>
  <c r="J37" s="1"/>
  <c r="F36"/>
  <c r="F30"/>
  <c r="L4"/>
  <c r="I11"/>
  <c r="F14"/>
  <c r="F16"/>
  <c r="I19"/>
  <c r="I20"/>
  <c r="I21"/>
  <c r="I22"/>
  <c r="F23"/>
  <c r="H22" i="5"/>
  <c r="C33"/>
  <c r="C28"/>
  <c r="I12"/>
  <c r="L9"/>
  <c r="G15"/>
  <c r="G16"/>
  <c r="G21"/>
  <c r="G20"/>
  <c r="G19"/>
  <c r="G18"/>
  <c r="B8"/>
  <c r="C23"/>
  <c r="G19" i="3"/>
  <c r="G20"/>
  <c r="G21"/>
  <c r="F28" s="1"/>
  <c r="G22"/>
  <c r="K20"/>
  <c r="F8" s="1"/>
  <c r="F24" s="1"/>
  <c r="J37" s="1"/>
  <c r="F36"/>
  <c r="F30"/>
  <c r="O5"/>
  <c r="J10"/>
  <c r="A4"/>
  <c r="A3"/>
  <c r="F14"/>
  <c r="F16"/>
  <c r="I19"/>
  <c r="I20"/>
  <c r="I21"/>
  <c r="I22"/>
  <c r="F23"/>
  <c r="F5" i="6" l="1"/>
  <c r="C9" i="5"/>
  <c r="F5" i="3"/>
  <c r="F5" i="1"/>
  <c r="L19"/>
  <c r="F28" i="6"/>
  <c r="J37" s="1"/>
  <c r="F35" s="1"/>
  <c r="C26" i="5"/>
  <c r="O7" i="6"/>
  <c r="O7" i="1"/>
  <c r="C24" i="5"/>
  <c r="O15"/>
  <c r="L19" i="6"/>
  <c r="R7" i="3"/>
  <c r="O18"/>
  <c r="F35"/>
  <c r="F29" s="1"/>
  <c r="F32" s="1"/>
  <c r="F28" i="1"/>
  <c r="J37" i="5" l="1"/>
  <c r="C32" s="1"/>
  <c r="B34" s="1"/>
  <c r="F29" i="6"/>
  <c r="F32" s="1"/>
  <c r="A37"/>
  <c r="A37" i="3"/>
  <c r="F35" i="1"/>
  <c r="F29" s="1"/>
  <c r="F32" s="1"/>
  <c r="C27" i="5" l="1"/>
  <c r="C30" s="1"/>
  <c r="A37" i="1"/>
</calcChain>
</file>

<file path=xl/sharedStrings.xml><?xml version="1.0" encoding="utf-8"?>
<sst xmlns="http://schemas.openxmlformats.org/spreadsheetml/2006/main" count="183" uniqueCount="139">
  <si>
    <t>Typical tractor weight is 4,500-27,000 Kg</t>
  </si>
  <si>
    <t>Datos a Ingresar</t>
  </si>
  <si>
    <t>Silo</t>
  </si>
  <si>
    <t>Rango típico 15 a 200</t>
  </si>
  <si>
    <t>Rango recomendado 0.30 a 0.40</t>
  </si>
  <si>
    <t>Espesor recomendado 15 cm o menos</t>
  </si>
  <si>
    <t>Maquinaria</t>
  </si>
  <si>
    <t>Peso (kg)</t>
  </si>
  <si>
    <t>Tiempo sobre el forraje (%)</t>
  </si>
  <si>
    <t>Cálculos</t>
  </si>
  <si>
    <t>Peso total ponderado (kg) =</t>
  </si>
  <si>
    <t>Intermedios</t>
  </si>
  <si>
    <t>Altura Promedio del Silo (metros) =</t>
  </si>
  <si>
    <t>Resultados</t>
  </si>
  <si>
    <t>Factor  de Compactación =</t>
  </si>
  <si>
    <r>
      <t>Brian Holmes,</t>
    </r>
    <r>
      <rPr>
        <sz val="12"/>
        <color indexed="57"/>
        <rFont val="Trebuchet MS"/>
        <family val="2"/>
      </rPr>
      <t xml:space="preserve"> Depto. de Ingeniería de Sistemas Biológicos y </t>
    </r>
  </si>
  <si>
    <t>Top Width (feet) [ can be zero]=</t>
  </si>
  <si>
    <t>Top Width (meters) [ can be zero]=</t>
  </si>
  <si>
    <t xml:space="preserve">     Silage Density in a Silage Pile (Metric Units)</t>
  </si>
  <si>
    <t>University of Wisconsin-Madison</t>
  </si>
  <si>
    <t>Silage Packing Layer Thickness (inches) =</t>
  </si>
  <si>
    <t>Tractor # 1</t>
  </si>
  <si>
    <t>Tractor # 2</t>
  </si>
  <si>
    <t>Tractor # 3</t>
  </si>
  <si>
    <t>Tractor # 4</t>
  </si>
  <si>
    <t>Packing Factor =</t>
  </si>
  <si>
    <t>Average Silage Height (feet) =</t>
  </si>
  <si>
    <t>Values in yellow cells are user changeable</t>
  </si>
  <si>
    <t>Values in pink cells are results of calculations</t>
  </si>
  <si>
    <t>Packing Tractor  - Each Tractor</t>
  </si>
  <si>
    <t>Brian Holmes(1) and Richard Muck(2)</t>
  </si>
  <si>
    <t>Tractor Packing Time (% of Filling Time)</t>
  </si>
  <si>
    <t>Green cells are intermediate calculated values</t>
  </si>
  <si>
    <t>Est. Average Dry Matter Density (lbs DM/cu ft) =</t>
  </si>
  <si>
    <t>Average Silage Height (meters) =</t>
  </si>
  <si>
    <t>Est. Average Dry Matter Density (Kg DM/cu m) =</t>
  </si>
  <si>
    <t>Silage Packing Layer Thickness (cm) =</t>
  </si>
  <si>
    <t xml:space="preserve">     Spreadsheet to Calculate Average</t>
  </si>
  <si>
    <t>Silage Dry Matter Content (decimal ie 0.35) =</t>
  </si>
  <si>
    <t>Recommended range of DM content = 0.3-0.4</t>
  </si>
  <si>
    <t>Typical values 15-200 T AF/hr</t>
  </si>
  <si>
    <t>Typical values 15-200 t AF/hr</t>
  </si>
  <si>
    <t>(2) US Dairy Forage Research Center</t>
  </si>
  <si>
    <t>(1) Biological Systems Engineering Dept. and</t>
  </si>
  <si>
    <t>Proportioned Total Tractor Weight (Kg) =</t>
  </si>
  <si>
    <t>Proportioned Total Tractor Weight (lbs) =</t>
  </si>
  <si>
    <t>Maximum Achievable DM Density (lbs DM/cu ft)=</t>
  </si>
  <si>
    <t>Maximum Achievable DM Density (Kg DM/cu m)=</t>
  </si>
  <si>
    <t>Typical tractor weight is 10,000-60,000 lbs</t>
  </si>
  <si>
    <t>Recommended value is 15.24 cm or less</t>
  </si>
  <si>
    <t>Recommended value is 6 inches or less</t>
  </si>
  <si>
    <t>=======================================================================================</t>
  </si>
  <si>
    <t>Do You Know Horizontal Portion of Side Slope (ie 3 for 3:1) [Yes or No]</t>
  </si>
  <si>
    <t>No</t>
  </si>
  <si>
    <t>Silage Pile Height to Top of Slope (meters) =</t>
  </si>
  <si>
    <t>Horizontal Portion of Side Slope (3 for 3:1) =</t>
  </si>
  <si>
    <t>Horizontal Portion of Side Slope (ie 3 for 3:1) =</t>
  </si>
  <si>
    <t>Silage Pile Height to Top of Slope (feet) =</t>
  </si>
  <si>
    <r>
      <t xml:space="preserve">Hoja de Cálculo para Estimar la Densidad Promedio en </t>
    </r>
    <r>
      <rPr>
        <b/>
        <sz val="14"/>
        <color indexed="10"/>
        <rFont val="Trebuchet MS"/>
        <family val="2"/>
      </rPr>
      <t>Silos de Montículo</t>
    </r>
    <r>
      <rPr>
        <b/>
        <sz val="14"/>
        <color indexed="12"/>
        <rFont val="Trebuchet MS"/>
        <family val="2"/>
      </rPr>
      <t xml:space="preserve"> </t>
    </r>
    <r>
      <rPr>
        <i/>
        <sz val="10"/>
        <color indexed="12"/>
        <rFont val="Trebuchet MS"/>
        <family val="2"/>
      </rPr>
      <t>(unidades métricas)</t>
    </r>
  </si>
  <si>
    <t>Altura del Montículo (metros) =</t>
  </si>
  <si>
    <t>Tasa de llenado (toneladas de forraje por hora) =</t>
  </si>
  <si>
    <t>Contenido de MS del forraje, (en decimales) =</t>
  </si>
  <si>
    <t>Espesor de la Capa de Forraje Distribuida (cm) =</t>
  </si>
  <si>
    <t>Cálc Interm</t>
  </si>
  <si>
    <r>
      <t>Richard Muck,</t>
    </r>
    <r>
      <rPr>
        <sz val="12"/>
        <color indexed="57"/>
        <rFont val="Trebuchet MS"/>
        <family val="2"/>
      </rPr>
      <t xml:space="preserve"> Centro de Investigacion en Forrajes para Ganado Lechero de los Estados Unidos </t>
    </r>
  </si>
  <si>
    <t>¿Conoce la Distancia Horizontal con relacion a la Pendiente? (por ejemplo 3, en 3:1) [Si o No]</t>
  </si>
  <si>
    <t>-------------------------------------------------------------------------------------------------------------------------------------------------------------------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</si>
  <si>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----------------------------------------------------------------------------------------------------------------------------------------------------------------------</t>
  </si>
  <si>
    <t>Est. Average Wet Density = Bulk Density (lbs AF/cu ft) =</t>
  </si>
  <si>
    <t>Wet Density greater than 44 lbs AF/cu ft is recommended</t>
  </si>
  <si>
    <t>Maximum Achievable Bulk Density (lbs AF/cu ft)=</t>
  </si>
  <si>
    <t>Wet Density greater than Max. Wet Density is unrealistic</t>
  </si>
  <si>
    <t>Gas Filled Porosity =</t>
  </si>
  <si>
    <t>Gas Filled Porosity less than 0.40 is recommended</t>
  </si>
  <si>
    <t>DM Density greater than Max. Achievable is unrealistic</t>
  </si>
  <si>
    <t>Density greater than 15 lbs DM/cu ft is recommended</t>
  </si>
  <si>
    <t xml:space="preserve"> Packing Factor =</t>
  </si>
  <si>
    <t>Dry Matter Density greater than 240 Kg DM/cu m is recommended</t>
  </si>
  <si>
    <t>Est. Average Wet Density = Bulk Density (kg AF/cu m) =</t>
  </si>
  <si>
    <t>Wet Density greater than 705 kg AF/cu m is recommended</t>
  </si>
  <si>
    <t>Maximum Achievable Bulk Density (kg AF/cu m)=</t>
  </si>
  <si>
    <r>
      <t>Objetivo Recomendado: mayor a 240 kg MS por m</t>
    </r>
    <r>
      <rPr>
        <vertAlign val="superscript"/>
        <sz val="10"/>
        <color indexed="10"/>
        <rFont val="Trebuchet MS"/>
        <family val="2"/>
      </rPr>
      <t>3</t>
    </r>
  </si>
  <si>
    <t>Densidad mayor a Densidad Maxima de MS Alcanzable es irreal</t>
  </si>
  <si>
    <t>Ancho de la Parte Superior del Montículo - puede ser cero - (metros) =</t>
  </si>
  <si>
    <r>
      <t>Promedio Estimado de Densidad de MS (kg MS por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 =</t>
    </r>
  </si>
  <si>
    <r>
      <t>Máxima Densidad de MS Alcanzable (kg MS por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 =</t>
    </r>
  </si>
  <si>
    <t>Peso típico rango de 4,500 - 27,000 kg</t>
  </si>
  <si>
    <r>
      <t>Densidad humeda promedio estimada= Densidad en volumen (kg AF/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</si>
  <si>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t>Maxima densidad en volumen alcanzable (kg AF/ metro cubico)</t>
  </si>
  <si>
    <t>Porosidad de llenado de gas</t>
  </si>
  <si>
    <t>Se recomienda una densidad humeda mayor de 705 kg AF/ m cubico</t>
  </si>
  <si>
    <t>Una densidad humeda mayor que la maxima densidad humeda no es real</t>
  </si>
  <si>
    <t>Se recomienda una porosidad de llenado de gas menor a 0.40</t>
  </si>
  <si>
    <t>Silage Delivery Rate to Pile (T AF/Hr) =</t>
  </si>
  <si>
    <t>Silage Delivery Rate to Pile (tonne AF/Hr) =</t>
  </si>
  <si>
    <t>====================================================================================================</t>
  </si>
  <si>
    <t xml:space="preserve">     Hoja de calculo para calcular la densidad promedio  </t>
  </si>
  <si>
    <t xml:space="preserve">     del ensilado en una pila de ensilado (unidades inglesas)</t>
  </si>
  <si>
    <t>Altura de la pila de ensilado al tope de la pendiente (pies) =</t>
  </si>
  <si>
    <t>Porción horizontal lateral de la pendiente (ie 3 para 3:1) =</t>
  </si>
  <si>
    <t>Ancho del tope (pies) [ puede ser cero]=</t>
  </si>
  <si>
    <t>Los valores en celdas amarillas son cambiables por el usuario</t>
  </si>
  <si>
    <t>Tasa de llenado de ensilado en la pila (T AF/Hr) =</t>
  </si>
  <si>
    <t>Valores típicos 15-200 T AF/hr</t>
  </si>
  <si>
    <t>Contenido de materia seca del ensilado (decimal ie 0.35) =</t>
  </si>
  <si>
    <t>Rango recomendado de MS = 0.3-0.4</t>
  </si>
  <si>
    <t>Espesor de la capa de compactación del ensilado (pulgadas) =</t>
  </si>
  <si>
    <t>El valor recomendado es de 6 pulgadas o menos</t>
  </si>
  <si>
    <t>Tractor compactador  - Cada Tractor</t>
  </si>
  <si>
    <t>Tiempo de compactado con tractor (% del tiempo de llenado)</t>
  </si>
  <si>
    <t>El peso típico del tractor es 10,000-60,000 lbs</t>
  </si>
  <si>
    <t>Peso total proporcional del tractor (lbs) =</t>
  </si>
  <si>
    <t>Altura promedio del ensilado (pies) =</t>
  </si>
  <si>
    <t>Las celdas verdes son valores intermedios calculados</t>
  </si>
  <si>
    <t xml:space="preserve"> Factor de compactación =</t>
  </si>
  <si>
    <t>Los valores en rosa son resultados de cálculos</t>
  </si>
  <si>
    <t>Densidad húmeda promedio estimada = Densidad bruta (lbs AF/pies cub) =</t>
  </si>
  <si>
    <t>Se recomienda una densidad húmeda superior a las 44 lbs AF/pies cub</t>
  </si>
  <si>
    <t>Densidad bruta máxima alcanzable (lbs AF/pies cub)=</t>
  </si>
  <si>
    <t>Una densidad húmeda superior a la Densidad Húmeda Máxima no es realista</t>
  </si>
  <si>
    <t>Porosidad llena de gas =</t>
  </si>
  <si>
    <t>Se recomienda una porosidad llena de gas menor a  0.40</t>
  </si>
  <si>
    <t>Densidad promedio estimada de materia seca  (lbs MS/pies cub) =</t>
  </si>
  <si>
    <t>Se recomienda una densidad mayor a las 15 lbs MS/pies cub.</t>
  </si>
  <si>
    <t>Densidad máxima de MS alcanzable (lbs MS/pies cub)=</t>
  </si>
  <si>
    <t>Una densidad de la MS superior a la Máxima alcanzable no es realista</t>
  </si>
  <si>
    <t xml:space="preserve">                                                 Tractor Weight (lbs)</t>
  </si>
  <si>
    <t xml:space="preserve">                                                        Tractor Weight (Kg)</t>
  </si>
  <si>
    <t xml:space="preserve">                                                   Peso del tractor (lbs)</t>
  </si>
  <si>
    <t>8/23/2007 (Revised 5-10-2020)</t>
  </si>
  <si>
    <t>10 de Mayo del 2020</t>
  </si>
  <si>
    <t xml:space="preserve">Universidad de Wisconsin - Madison </t>
  </si>
  <si>
    <t xml:space="preserve">Brian Holmes, Depto. de Ingeniería de Sistemas Biológicos  </t>
  </si>
  <si>
    <t xml:space="preserve">                         de los Estados Unidos </t>
  </si>
  <si>
    <t xml:space="preserve">Richard Muck, Centro de Investigacion en Forrajes para Ganado Lechero  </t>
  </si>
  <si>
    <t>8/23/2007 (Revised May 10,2020)</t>
  </si>
  <si>
    <r>
      <t xml:space="preserve">Universidad de Wisconsin - Madison </t>
    </r>
    <r>
      <rPr>
        <sz val="12"/>
        <color rgb="FFFF0000"/>
        <rFont val="Trebuchet MS"/>
        <family val="2"/>
      </rPr>
      <t>(10 de Mayo del 2020)</t>
    </r>
  </si>
  <si>
    <t xml:space="preserve">     Silage Density in a Silage Pile (English Units)</t>
  </si>
  <si>
    <t>Distancia Horizontal con relacion a la Pendiente Lateral  (&gt;3, en 3:1)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</si>
</sst>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[$-409]mmmm\ d\,\ yyyy;@"/>
  </numFmts>
  <fonts count="49">
    <font>
      <sz val="10"/>
      <name val="Arial"/>
    </font>
    <font>
      <sz val="10"/>
      <name val="Arial"/>
      <family val="2"/>
    </font>
    <font>
      <b/>
      <sz val="10"/>
      <color indexed="57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i/>
      <sz val="10"/>
      <color indexed="12"/>
      <name val="Trebuchet MS"/>
      <family val="2"/>
    </font>
    <font>
      <b/>
      <sz val="14"/>
      <color indexed="12"/>
      <name val="Trebuchet MS"/>
      <family val="2"/>
    </font>
    <font>
      <sz val="10"/>
      <name val="Trebuchet MS"/>
      <family val="2"/>
    </font>
    <font>
      <sz val="12"/>
      <color indexed="57"/>
      <name val="Trebuchet MS"/>
      <family val="2"/>
    </font>
    <font>
      <b/>
      <sz val="14"/>
      <color indexed="57"/>
      <name val="Trebuchet MS"/>
      <family val="2"/>
    </font>
    <font>
      <sz val="10"/>
      <color indexed="55"/>
      <name val="Trebuchet MS"/>
      <family val="2"/>
    </font>
    <font>
      <b/>
      <sz val="10"/>
      <name val="Trebuchet MS"/>
      <family val="2"/>
    </font>
    <font>
      <sz val="10"/>
      <color indexed="10"/>
      <name val="Trebuchet MS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vertAlign val="superscript"/>
      <sz val="10"/>
      <color indexed="10"/>
      <name val="Trebuchet MS"/>
      <family val="2"/>
    </font>
    <font>
      <b/>
      <sz val="14"/>
      <color indexed="10"/>
      <name val="Trebuchet MS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57"/>
      <name val="Trebuchet MS"/>
      <family val="2"/>
    </font>
    <font>
      <b/>
      <sz val="12"/>
      <color indexed="8"/>
      <name val="Arial"/>
      <family val="2"/>
    </font>
    <font>
      <sz val="10"/>
      <color indexed="8"/>
      <name val="Trebuchet MS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b/>
      <sz val="12"/>
      <name val="Trebuchet MS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rebuchet MS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rebuchet MS"/>
      <family val="2"/>
    </font>
    <font>
      <sz val="12"/>
      <color rgb="FFFF000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2" borderId="0" xfId="0" applyFill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quotePrefix="1" applyFont="1" applyProtection="1"/>
    <xf numFmtId="0" fontId="4" fillId="3" borderId="0" xfId="0" applyFont="1" applyFill="1" applyProtection="1"/>
    <xf numFmtId="0" fontId="0" fillId="3" borderId="0" xfId="0" applyFill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164" fontId="4" fillId="0" borderId="0" xfId="0" applyNumberFormat="1" applyFont="1" applyFill="1" applyProtection="1"/>
    <xf numFmtId="0" fontId="0" fillId="0" borderId="0" xfId="0" applyFill="1" applyProtection="1"/>
    <xf numFmtId="0" fontId="0" fillId="0" borderId="0" xfId="0" quotePrefix="1"/>
    <xf numFmtId="0" fontId="9" fillId="0" borderId="0" xfId="0" applyFont="1" applyFill="1" applyProtection="1"/>
    <xf numFmtId="0" fontId="11" fillId="0" borderId="0" xfId="0" applyFont="1" applyProtection="1"/>
    <xf numFmtId="0" fontId="0" fillId="0" borderId="0" xfId="0" applyFill="1"/>
    <xf numFmtId="0" fontId="14" fillId="0" borderId="0" xfId="0" applyFont="1"/>
    <xf numFmtId="166" fontId="17" fillId="0" borderId="0" xfId="1" applyNumberFormat="1" applyFont="1"/>
    <xf numFmtId="0" fontId="14" fillId="0" borderId="0" xfId="0" applyFont="1" applyProtection="1"/>
    <xf numFmtId="0" fontId="14" fillId="0" borderId="1" xfId="1" applyNumberFormat="1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 wrapText="1"/>
    </xf>
    <xf numFmtId="0" fontId="14" fillId="0" borderId="0" xfId="0" quotePrefix="1" applyFont="1"/>
    <xf numFmtId="0" fontId="14" fillId="0" borderId="0" xfId="0" applyFont="1" applyFill="1" applyBorder="1"/>
    <xf numFmtId="166" fontId="14" fillId="0" borderId="0" xfId="1" applyNumberFormat="1" applyFont="1" applyFill="1" applyBorder="1" applyProtection="1">
      <protection locked="0"/>
    </xf>
    <xf numFmtId="166" fontId="14" fillId="0" borderId="0" xfId="1" applyNumberFormat="1" applyFont="1" applyFill="1" applyBorder="1" applyAlignment="1" applyProtection="1">
      <alignment horizontal="left"/>
      <protection locked="0"/>
    </xf>
    <xf numFmtId="0" fontId="21" fillId="0" borderId="0" xfId="0" applyFont="1" applyFill="1" applyBorder="1" applyProtection="1"/>
    <xf numFmtId="0" fontId="21" fillId="0" borderId="0" xfId="0" applyNumberFormat="1" applyFont="1" applyFill="1" applyBorder="1" applyProtection="1"/>
    <xf numFmtId="0" fontId="14" fillId="0" borderId="0" xfId="0" quotePrefix="1" applyFont="1" applyFill="1" applyBorder="1"/>
    <xf numFmtId="0" fontId="14" fillId="0" borderId="0" xfId="0" applyFont="1" applyFill="1"/>
    <xf numFmtId="166" fontId="14" fillId="0" borderId="0" xfId="1" applyNumberFormat="1" applyFont="1" applyProtection="1"/>
    <xf numFmtId="0" fontId="19" fillId="0" borderId="0" xfId="0" applyFont="1" applyFill="1" applyProtection="1"/>
    <xf numFmtId="164" fontId="24" fillId="0" borderId="0" xfId="0" applyNumberFormat="1" applyFont="1" applyProtection="1"/>
    <xf numFmtId="0" fontId="25" fillId="0" borderId="0" xfId="0" applyFont="1" applyProtection="1"/>
    <xf numFmtId="0" fontId="25" fillId="4" borderId="0" xfId="0" applyFont="1" applyFill="1" applyProtection="1"/>
    <xf numFmtId="164" fontId="25" fillId="3" borderId="0" xfId="0" applyNumberFormat="1" applyFont="1" applyFill="1" applyProtection="1"/>
    <xf numFmtId="0" fontId="27" fillId="0" borderId="0" xfId="0" applyFont="1" applyProtection="1"/>
    <xf numFmtId="0" fontId="7" fillId="3" borderId="0" xfId="0" applyFont="1" applyFill="1" applyProtection="1"/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18" fillId="5" borderId="3" xfId="0" applyFont="1" applyFill="1" applyBorder="1" applyAlignment="1">
      <alignment horizontal="left"/>
    </xf>
    <xf numFmtId="0" fontId="14" fillId="0" borderId="0" xfId="0" applyFont="1" applyBorder="1"/>
    <xf numFmtId="0" fontId="29" fillId="0" borderId="0" xfId="0" applyFont="1" applyProtection="1"/>
    <xf numFmtId="0" fontId="29" fillId="3" borderId="0" xfId="0" applyFont="1" applyFill="1" applyProtection="1"/>
    <xf numFmtId="166" fontId="14" fillId="7" borderId="4" xfId="1" applyNumberFormat="1" applyFont="1" applyFill="1" applyBorder="1" applyProtection="1"/>
    <xf numFmtId="0" fontId="14" fillId="0" borderId="0" xfId="0" applyFont="1" applyFill="1" applyProtection="1"/>
    <xf numFmtId="0" fontId="24" fillId="0" borderId="0" xfId="0" applyFont="1" applyFill="1" applyProtection="1"/>
    <xf numFmtId="0" fontId="31" fillId="0" borderId="0" xfId="0" applyFont="1" applyProtection="1"/>
    <xf numFmtId="164" fontId="32" fillId="3" borderId="0" xfId="0" applyNumberFormat="1" applyFont="1" applyFill="1" applyProtection="1"/>
    <xf numFmtId="164" fontId="32" fillId="3" borderId="0" xfId="0" applyNumberFormat="1" applyFont="1" applyFill="1"/>
    <xf numFmtId="1" fontId="4" fillId="0" borderId="0" xfId="0" applyNumberFormat="1" applyFont="1" applyFill="1" applyProtection="1"/>
    <xf numFmtId="0" fontId="0" fillId="7" borderId="0" xfId="0" applyFill="1" applyProtection="1"/>
    <xf numFmtId="164" fontId="4" fillId="3" borderId="4" xfId="0" applyNumberFormat="1" applyFont="1" applyFill="1" applyBorder="1" applyProtection="1"/>
    <xf numFmtId="2" fontId="4" fillId="3" borderId="4" xfId="0" applyNumberFormat="1" applyFont="1" applyFill="1" applyBorder="1" applyProtection="1"/>
    <xf numFmtId="0" fontId="0" fillId="0" borderId="4" xfId="0" applyBorder="1" applyProtection="1"/>
    <xf numFmtId="0" fontId="0" fillId="0" borderId="4" xfId="0" applyBorder="1"/>
    <xf numFmtId="166" fontId="30" fillId="0" borderId="0" xfId="1" applyNumberFormat="1" applyFont="1" applyFill="1"/>
    <xf numFmtId="0" fontId="30" fillId="0" borderId="0" xfId="0" applyFont="1" applyFill="1"/>
    <xf numFmtId="0" fontId="14" fillId="0" borderId="0" xfId="0" quotePrefix="1" applyFont="1" applyFill="1"/>
    <xf numFmtId="0" fontId="36" fillId="0" borderId="0" xfId="0" applyFont="1" applyAlignment="1" applyProtection="1">
      <alignment horizontal="left"/>
    </xf>
    <xf numFmtId="0" fontId="36" fillId="0" borderId="0" xfId="0" applyFont="1" applyFill="1" applyAlignment="1" applyProtection="1">
      <alignment horizontal="left"/>
    </xf>
    <xf numFmtId="0" fontId="36" fillId="0" borderId="0" xfId="0" applyFont="1" applyFill="1" applyBorder="1" applyAlignment="1" applyProtection="1">
      <alignment horizontal="left"/>
    </xf>
    <xf numFmtId="0" fontId="36" fillId="0" borderId="0" xfId="0" quotePrefix="1" applyFont="1" applyAlignment="1" applyProtection="1">
      <alignment horizontal="left"/>
    </xf>
    <xf numFmtId="0" fontId="4" fillId="3" borderId="0" xfId="0" applyFont="1" applyFill="1"/>
    <xf numFmtId="0" fontId="19" fillId="0" borderId="0" xfId="0" applyFont="1"/>
    <xf numFmtId="0" fontId="39" fillId="0" borderId="0" xfId="0" applyFont="1"/>
    <xf numFmtId="0" fontId="18" fillId="7" borderId="5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left"/>
    </xf>
    <xf numFmtId="1" fontId="40" fillId="6" borderId="7" xfId="1" applyNumberFormat="1" applyFont="1" applyFill="1" applyBorder="1" applyProtection="1">
      <protection locked="0"/>
    </xf>
    <xf numFmtId="1" fontId="40" fillId="6" borderId="8" xfId="1" applyNumberFormat="1" applyFont="1" applyFill="1" applyBorder="1" applyProtection="1">
      <protection locked="0"/>
    </xf>
    <xf numFmtId="1" fontId="40" fillId="6" borderId="9" xfId="1" applyNumberFormat="1" applyFont="1" applyFill="1" applyBorder="1" applyProtection="1">
      <protection locked="0"/>
    </xf>
    <xf numFmtId="0" fontId="40" fillId="6" borderId="11" xfId="0" applyFont="1" applyFill="1" applyBorder="1" applyProtection="1">
      <protection locked="0"/>
    </xf>
    <xf numFmtId="165" fontId="40" fillId="6" borderId="10" xfId="1" applyNumberFormat="1" applyFont="1" applyFill="1" applyBorder="1" applyProtection="1">
      <protection locked="0"/>
    </xf>
    <xf numFmtId="166" fontId="40" fillId="6" borderId="10" xfId="1" applyNumberFormat="1" applyFont="1" applyFill="1" applyBorder="1" applyProtection="1">
      <protection locked="0"/>
    </xf>
    <xf numFmtId="43" fontId="40" fillId="6" borderId="10" xfId="1" applyNumberFormat="1" applyFont="1" applyFill="1" applyBorder="1" applyProtection="1">
      <protection locked="0"/>
    </xf>
    <xf numFmtId="166" fontId="40" fillId="6" borderId="12" xfId="1" applyNumberFormat="1" applyFont="1" applyFill="1" applyBorder="1" applyProtection="1">
      <protection locked="0"/>
    </xf>
    <xf numFmtId="0" fontId="0" fillId="0" borderId="0" xfId="0" quotePrefix="1" applyFill="1"/>
    <xf numFmtId="0" fontId="2" fillId="2" borderId="0" xfId="0" applyFont="1" applyFill="1" applyProtection="1"/>
    <xf numFmtId="0" fontId="0" fillId="2" borderId="0" xfId="0" applyFill="1"/>
    <xf numFmtId="0" fontId="4" fillId="6" borderId="4" xfId="0" applyFont="1" applyFill="1" applyBorder="1" applyProtection="1">
      <protection locked="0"/>
    </xf>
    <xf numFmtId="164" fontId="25" fillId="3" borderId="4" xfId="0" applyNumberFormat="1" applyFont="1" applyFill="1" applyBorder="1" applyProtection="1"/>
    <xf numFmtId="3" fontId="4" fillId="6" borderId="4" xfId="0" applyNumberFormat="1" applyFont="1" applyFill="1" applyBorder="1" applyProtection="1">
      <protection locked="0"/>
    </xf>
    <xf numFmtId="3" fontId="4" fillId="7" borderId="4" xfId="0" applyNumberFormat="1" applyFont="1" applyFill="1" applyBorder="1" applyProtection="1"/>
    <xf numFmtId="164" fontId="4" fillId="7" borderId="4" xfId="0" applyNumberFormat="1" applyFont="1" applyFill="1" applyBorder="1" applyProtection="1"/>
    <xf numFmtId="0" fontId="4" fillId="6" borderId="4" xfId="0" applyFont="1" applyFill="1" applyBorder="1" applyAlignment="1" applyProtection="1">
      <alignment horizontal="left"/>
      <protection locked="0"/>
    </xf>
    <xf numFmtId="164" fontId="4" fillId="6" borderId="4" xfId="0" applyNumberFormat="1" applyFont="1" applyFill="1" applyBorder="1" applyProtection="1">
      <protection locked="0"/>
    </xf>
    <xf numFmtId="0" fontId="4" fillId="7" borderId="4" xfId="0" applyFont="1" applyFill="1" applyBorder="1" applyProtection="1"/>
    <xf numFmtId="0" fontId="4" fillId="4" borderId="0" xfId="0" applyFont="1" applyFill="1" applyProtection="1"/>
    <xf numFmtId="0" fontId="0" fillId="0" borderId="0" xfId="0" applyFont="1" applyProtection="1"/>
    <xf numFmtId="166" fontId="23" fillId="0" borderId="0" xfId="1" applyNumberFormat="1" applyFont="1" applyFill="1" applyProtection="1"/>
    <xf numFmtId="0" fontId="41" fillId="0" borderId="0" xfId="0" applyFont="1" applyProtection="1"/>
    <xf numFmtId="0" fontId="41" fillId="0" borderId="0" xfId="0" applyFont="1" applyFill="1" applyProtection="1"/>
    <xf numFmtId="164" fontId="42" fillId="0" borderId="0" xfId="0" applyNumberFormat="1" applyFont="1" applyFill="1" applyProtection="1"/>
    <xf numFmtId="167" fontId="2" fillId="0" borderId="0" xfId="0" quotePrefix="1" applyNumberFormat="1" applyFont="1" applyAlignment="1" applyProtection="1">
      <alignment horizontal="left"/>
    </xf>
    <xf numFmtId="0" fontId="41" fillId="0" borderId="0" xfId="0" applyFont="1" applyFill="1"/>
    <xf numFmtId="164" fontId="43" fillId="0" borderId="0" xfId="0" applyNumberFormat="1" applyFont="1" applyFill="1"/>
    <xf numFmtId="0" fontId="41" fillId="0" borderId="0" xfId="0" applyFont="1"/>
    <xf numFmtId="0" fontId="44" fillId="0" borderId="0" xfId="0" applyFont="1" applyFill="1"/>
    <xf numFmtId="0" fontId="44" fillId="0" borderId="0" xfId="0" applyFont="1"/>
    <xf numFmtId="166" fontId="44" fillId="0" borderId="0" xfId="1" applyNumberFormat="1" applyFont="1" applyFill="1"/>
    <xf numFmtId="166" fontId="44" fillId="0" borderId="0" xfId="1" applyNumberFormat="1" applyFont="1" applyFill="1" applyBorder="1" applyProtection="1"/>
    <xf numFmtId="164" fontId="45" fillId="0" borderId="4" xfId="0" applyNumberFormat="1" applyFont="1" applyFill="1" applyBorder="1" applyProtection="1"/>
    <xf numFmtId="164" fontId="46" fillId="0" borderId="4" xfId="0" applyNumberFormat="1" applyFont="1" applyFill="1" applyBorder="1" applyProtection="1"/>
    <xf numFmtId="166" fontId="47" fillId="0" borderId="4" xfId="1" applyNumberFormat="1" applyFont="1" applyFill="1" applyBorder="1" applyProtection="1"/>
    <xf numFmtId="0" fontId="15" fillId="0" borderId="0" xfId="0" applyFont="1" applyAlignment="1" applyProtection="1">
      <alignment horizontal="left"/>
    </xf>
    <xf numFmtId="0" fontId="48" fillId="0" borderId="0" xfId="0" applyFont="1" applyAlignment="1" applyProtection="1">
      <alignment horizontal="left"/>
    </xf>
    <xf numFmtId="0" fontId="25" fillId="6" borderId="4" xfId="0" applyFont="1" applyFill="1" applyBorder="1" applyProtection="1">
      <protection locked="0"/>
    </xf>
    <xf numFmtId="0" fontId="4" fillId="0" borderId="4" xfId="0" applyFont="1" applyBorder="1" applyProtection="1"/>
    <xf numFmtId="0" fontId="18" fillId="6" borderId="15" xfId="0" applyFont="1" applyFill="1" applyBorder="1" applyProtection="1">
      <protection locked="0"/>
    </xf>
    <xf numFmtId="0" fontId="18" fillId="6" borderId="4" xfId="0" applyFont="1" applyFill="1" applyBorder="1" applyProtection="1">
      <protection locked="0"/>
    </xf>
    <xf numFmtId="0" fontId="25" fillId="0" borderId="4" xfId="0" applyFont="1" applyBorder="1" applyProtection="1"/>
    <xf numFmtId="0" fontId="10" fillId="0" borderId="4" xfId="0" applyFont="1" applyBorder="1" applyProtection="1"/>
    <xf numFmtId="0" fontId="26" fillId="0" borderId="4" xfId="0" applyFont="1" applyFill="1" applyBorder="1" applyProtection="1"/>
    <xf numFmtId="0" fontId="26" fillId="0" borderId="4" xfId="0" applyFont="1" applyBorder="1" applyProtection="1"/>
    <xf numFmtId="43" fontId="20" fillId="0" borderId="4" xfId="0" applyNumberFormat="1" applyFont="1" applyFill="1" applyBorder="1" applyProtection="1"/>
    <xf numFmtId="164" fontId="33" fillId="3" borderId="0" xfId="0" applyNumberFormat="1" applyFont="1" applyFill="1" applyAlignment="1" applyProtection="1">
      <alignment horizontal="center"/>
    </xf>
    <xf numFmtId="164" fontId="35" fillId="8" borderId="0" xfId="0" applyNumberFormat="1" applyFont="1" applyFill="1" applyAlignment="1">
      <alignment horizontal="center"/>
    </xf>
    <xf numFmtId="0" fontId="40" fillId="6" borderId="17" xfId="0" applyFont="1" applyFill="1" applyBorder="1" applyProtection="1">
      <protection locked="0"/>
    </xf>
    <xf numFmtId="0" fontId="36" fillId="0" borderId="4" xfId="0" applyFont="1" applyBorder="1" applyAlignment="1" applyProtection="1">
      <alignment horizontal="left"/>
    </xf>
    <xf numFmtId="164" fontId="18" fillId="8" borderId="10" xfId="0" applyNumberFormat="1" applyFont="1" applyFill="1" applyBorder="1" applyProtection="1"/>
    <xf numFmtId="0" fontId="5" fillId="0" borderId="4" xfId="0" applyFont="1" applyBorder="1" applyProtection="1"/>
    <xf numFmtId="0" fontId="9" fillId="0" borderId="0" xfId="0" applyFont="1" applyAlignment="1" applyProtection="1">
      <alignment horizontal="left"/>
    </xf>
    <xf numFmtId="164" fontId="14" fillId="9" borderId="4" xfId="0" applyNumberFormat="1" applyFont="1" applyFill="1" applyBorder="1" applyProtection="1"/>
    <xf numFmtId="0" fontId="36" fillId="8" borderId="0" xfId="0" applyFont="1" applyFill="1" applyBorder="1" applyProtection="1"/>
    <xf numFmtId="164" fontId="4" fillId="8" borderId="4" xfId="0" applyNumberFormat="1" applyFont="1" applyFill="1" applyBorder="1" applyProtection="1"/>
    <xf numFmtId="0" fontId="7" fillId="0" borderId="4" xfId="0" applyNumberFormat="1" applyFont="1" applyFill="1" applyBorder="1" applyProtection="1"/>
    <xf numFmtId="0" fontId="23" fillId="0" borderId="4" xfId="0" applyNumberFormat="1" applyFont="1" applyFill="1" applyBorder="1" applyProtection="1"/>
    <xf numFmtId="1" fontId="40" fillId="6" borderId="18" xfId="1" applyNumberFormat="1" applyFont="1" applyFill="1" applyBorder="1" applyAlignment="1" applyProtection="1">
      <alignment horizontal="right"/>
      <protection locked="0"/>
    </xf>
    <xf numFmtId="1" fontId="40" fillId="6" borderId="19" xfId="1" applyNumberFormat="1" applyFont="1" applyFill="1" applyBorder="1" applyAlignment="1" applyProtection="1">
      <alignment horizontal="right"/>
      <protection locked="0"/>
    </xf>
    <xf numFmtId="1" fontId="40" fillId="6" borderId="20" xfId="1" applyNumberFormat="1" applyFont="1" applyFill="1" applyBorder="1" applyAlignment="1" applyProtection="1">
      <alignment horizontal="right"/>
      <protection locked="0"/>
    </xf>
    <xf numFmtId="166" fontId="18" fillId="8" borderId="4" xfId="1" applyNumberFormat="1" applyFont="1" applyFill="1" applyBorder="1" applyProtection="1"/>
    <xf numFmtId="0" fontId="33" fillId="8" borderId="0" xfId="0" applyFont="1" applyFill="1" applyAlignment="1" applyProtection="1">
      <alignment horizontal="right"/>
    </xf>
    <xf numFmtId="164" fontId="33" fillId="8" borderId="0" xfId="0" applyNumberFormat="1" applyFont="1" applyFill="1" applyAlignment="1" applyProtection="1">
      <alignment horizontal="center"/>
    </xf>
    <xf numFmtId="0" fontId="33" fillId="8" borderId="0" xfId="0" applyFont="1" applyFill="1" applyAlignment="1" applyProtection="1">
      <alignment horizontal="center"/>
    </xf>
    <xf numFmtId="164" fontId="33" fillId="8" borderId="0" xfId="0" applyNumberFormat="1" applyFont="1" applyFill="1" applyAlignment="1">
      <alignment horizontal="center"/>
    </xf>
    <xf numFmtId="0" fontId="34" fillId="8" borderId="0" xfId="0" applyFont="1" applyFill="1" applyAlignment="1" applyProtection="1">
      <alignment horizontal="center"/>
    </xf>
    <xf numFmtId="0" fontId="34" fillId="8" borderId="0" xfId="0" applyFont="1" applyFill="1" applyAlignment="1">
      <alignment horizontal="center"/>
    </xf>
    <xf numFmtId="165" fontId="34" fillId="8" borderId="0" xfId="0" applyNumberFormat="1" applyFont="1" applyFill="1" applyAlignment="1">
      <alignment horizontal="center"/>
    </xf>
    <xf numFmtId="166" fontId="40" fillId="8" borderId="4" xfId="1" applyNumberFormat="1" applyFont="1" applyFill="1" applyBorder="1" applyProtection="1"/>
    <xf numFmtId="166" fontId="40" fillId="8" borderId="13" xfId="1" applyNumberFormat="1" applyFont="1" applyFill="1" applyBorder="1" applyProtection="1"/>
    <xf numFmtId="0" fontId="18" fillId="7" borderId="14" xfId="0" applyFont="1" applyFill="1" applyBorder="1" applyAlignment="1">
      <alignment horizontal="center"/>
    </xf>
    <xf numFmtId="0" fontId="18" fillId="7" borderId="16" xfId="0" applyFont="1" applyFill="1" applyBorder="1" applyAlignment="1">
      <alignment horizontal="center"/>
    </xf>
    <xf numFmtId="0" fontId="13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0" fontId="25" fillId="0" borderId="4" xfId="0" applyFont="1" applyFill="1" applyBorder="1" applyProtection="1"/>
    <xf numFmtId="0" fontId="4" fillId="0" borderId="4" xfId="0" applyFont="1" applyFill="1" applyBorder="1" applyAlignment="1" applyProtection="1">
      <alignment horizontal="right"/>
    </xf>
    <xf numFmtId="164" fontId="4" fillId="0" borderId="4" xfId="0" applyNumberFormat="1" applyFont="1" applyFill="1" applyBorder="1" applyAlignment="1" applyProtection="1">
      <alignment horizontal="right"/>
    </xf>
    <xf numFmtId="0" fontId="9" fillId="0" borderId="4" xfId="0" applyFont="1" applyFill="1" applyBorder="1" applyProtection="1"/>
    <xf numFmtId="164" fontId="9" fillId="0" borderId="0" xfId="0" applyNumberFormat="1" applyFont="1" applyFill="1" applyAlignment="1" applyProtection="1">
      <alignment horizontal="right"/>
    </xf>
    <xf numFmtId="0" fontId="9" fillId="8" borderId="0" xfId="0" applyFont="1" applyFill="1" applyAlignment="1" applyProtection="1">
      <alignment horizontal="left"/>
    </xf>
  </cellXfs>
  <cellStyles count="2">
    <cellStyle name="Comma" xfId="1" builtinId="3"/>
    <cellStyle name="Normal" xfId="0" builtinId="0"/>
  </cellStyles>
  <dxfs count="38">
    <dxf>
      <font>
        <strike val="0"/>
        <color indexed="9"/>
      </font>
      <fill>
        <patternFill>
          <bgColor indexed="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strike val="0"/>
      </font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lor auto="1"/>
      </font>
    </dxf>
    <dxf>
      <font>
        <b/>
        <i val="0"/>
        <strike val="0"/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99FF"/>
      <color rgb="FFCCFFCC"/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6</xdr:row>
      <xdr:rowOff>60960</xdr:rowOff>
    </xdr:from>
    <xdr:to>
      <xdr:col>15</xdr:col>
      <xdr:colOff>417186</xdr:colOff>
      <xdr:row>13</xdr:row>
      <xdr:rowOff>91440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xmlns="" id="{57702943-018D-4F69-8C00-1A21D9711C9E}"/>
            </a:ext>
          </a:extLst>
        </xdr:cNvPr>
        <xdr:cNvSpPr>
          <a:spLocks noChangeArrowheads="1"/>
        </xdr:cNvSpPr>
      </xdr:nvSpPr>
      <xdr:spPr bwMode="auto">
        <a:xfrm rot="10800000">
          <a:off x="10378440" y="1211580"/>
          <a:ext cx="4686300" cy="1508760"/>
        </a:xfrm>
        <a:custGeom>
          <a:avLst/>
          <a:gdLst>
            <a:gd name="G0" fmla="+- 5400 0 0"/>
            <a:gd name="G1" fmla="+- 21600 0 5400"/>
            <a:gd name="G2" fmla="*/ 5400 1 2"/>
            <a:gd name="G3" fmla="+- 21600 0 G2"/>
            <a:gd name="G4" fmla="+/ 5400 21600 2"/>
            <a:gd name="G5" fmla="+/ G1 0 2"/>
            <a:gd name="G6" fmla="*/ 21600 21600 5400"/>
            <a:gd name="G7" fmla="*/ G6 1 2"/>
            <a:gd name="G8" fmla="+- 21600 0 G7"/>
            <a:gd name="G9" fmla="*/ 21600 1 2"/>
            <a:gd name="G10" fmla="+- 5400 0 G9"/>
            <a:gd name="G11" fmla="?: G10 G8 0"/>
            <a:gd name="G12" fmla="?: G10 G7 21600"/>
            <a:gd name="T0" fmla="*/ 18900 w 21600"/>
            <a:gd name="T1" fmla="*/ 10800 h 21600"/>
            <a:gd name="T2" fmla="*/ 10800 w 21600"/>
            <a:gd name="T3" fmla="*/ 21600 h 21600"/>
            <a:gd name="T4" fmla="*/ 2700 w 21600"/>
            <a:gd name="T5" fmla="*/ 10800 h 21600"/>
            <a:gd name="T6" fmla="*/ 10800 w 21600"/>
            <a:gd name="T7" fmla="*/ 0 h 21600"/>
            <a:gd name="T8" fmla="*/ 4500 w 21600"/>
            <a:gd name="T9" fmla="*/ 4500 h 21600"/>
            <a:gd name="T10" fmla="*/ 17100 w 21600"/>
            <a:gd name="T11" fmla="*/ 171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008000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FCF305"/>
              </a:solidFill>
              <a:latin typeface="Arial"/>
              <a:cs typeface="Arial"/>
            </a:rPr>
            <a:t>      Silage Pile</a:t>
          </a:r>
        </a:p>
        <a:p>
          <a:pPr algn="l" rtl="0">
            <a:defRPr sz="1000"/>
          </a:pPr>
          <a:r>
            <a:rPr lang="en-US" sz="2000" b="1" i="0" u="none" strike="noStrike" baseline="0">
              <a:solidFill>
                <a:srgbClr val="FCF305"/>
              </a:solidFill>
              <a:latin typeface="Arial"/>
              <a:cs typeface="Arial"/>
            </a:rPr>
            <a:t>    Cross Section   </a:t>
          </a:r>
        </a:p>
      </xdr:txBody>
    </xdr:sp>
    <xdr:clientData/>
  </xdr:twoCellAnchor>
  <xdr:twoCellAnchor>
    <xdr:from>
      <xdr:col>10</xdr:col>
      <xdr:colOff>523875</xdr:colOff>
      <xdr:row>0</xdr:row>
      <xdr:rowOff>190500</xdr:rowOff>
    </xdr:from>
    <xdr:to>
      <xdr:col>10</xdr:col>
      <xdr:colOff>523875</xdr:colOff>
      <xdr:row>5</xdr:row>
      <xdr:rowOff>133350</xdr:rowOff>
    </xdr:to>
    <xdr:sp macro="" textlink="">
      <xdr:nvSpPr>
        <xdr:cNvPr id="1134" name="Line 2"/>
        <xdr:cNvSpPr>
          <a:spLocks noChangeShapeType="1"/>
        </xdr:cNvSpPr>
      </xdr:nvSpPr>
      <xdr:spPr bwMode="auto">
        <a:xfrm flipV="1">
          <a:off x="11210925" y="190500"/>
          <a:ext cx="0" cy="933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523875</xdr:colOff>
      <xdr:row>0</xdr:row>
      <xdr:rowOff>190500</xdr:rowOff>
    </xdr:from>
    <xdr:to>
      <xdr:col>13</xdr:col>
      <xdr:colOff>523875</xdr:colOff>
      <xdr:row>5</xdr:row>
      <xdr:rowOff>133350</xdr:rowOff>
    </xdr:to>
    <xdr:sp macro="" textlink="">
      <xdr:nvSpPr>
        <xdr:cNvPr id="1135" name="Line 3"/>
        <xdr:cNvSpPr>
          <a:spLocks noChangeShapeType="1"/>
        </xdr:cNvSpPr>
      </xdr:nvSpPr>
      <xdr:spPr bwMode="auto">
        <a:xfrm flipV="1">
          <a:off x="13496925" y="190500"/>
          <a:ext cx="0" cy="933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773430</xdr:colOff>
      <xdr:row>1</xdr:row>
      <xdr:rowOff>38100</xdr:rowOff>
    </xdr:from>
    <xdr:ext cx="1582677" cy="357790"/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xmlns="" id="{745F4BAD-A5A1-4B7D-9BD4-9883CAD87A99}"/>
            </a:ext>
          </a:extLst>
        </xdr:cNvPr>
        <xdr:cNvSpPr txBox="1">
          <a:spLocks noChangeArrowheads="1"/>
        </xdr:cNvSpPr>
      </xdr:nvSpPr>
      <xdr:spPr bwMode="auto">
        <a:xfrm>
          <a:off x="11479530" y="241300"/>
          <a:ext cx="1582677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Top Width (ft)</a:t>
          </a:r>
        </a:p>
      </xdr:txBody>
    </xdr:sp>
    <xdr:clientData/>
  </xdr:oneCellAnchor>
  <xdr:twoCellAnchor>
    <xdr:from>
      <xdr:col>10</xdr:col>
      <xdr:colOff>523875</xdr:colOff>
      <xdr:row>2</xdr:row>
      <xdr:rowOff>9525</xdr:rowOff>
    </xdr:from>
    <xdr:to>
      <xdr:col>11</xdr:col>
      <xdr:colOff>0</xdr:colOff>
      <xdr:row>2</xdr:row>
      <xdr:rowOff>9525</xdr:rowOff>
    </xdr:to>
    <xdr:sp macro="" textlink="">
      <xdr:nvSpPr>
        <xdr:cNvPr id="1137" name="Line 5"/>
        <xdr:cNvSpPr>
          <a:spLocks noChangeShapeType="1"/>
        </xdr:cNvSpPr>
      </xdr:nvSpPr>
      <xdr:spPr bwMode="auto">
        <a:xfrm flipH="1">
          <a:off x="11210925" y="4095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28575</xdr:colOff>
      <xdr:row>2</xdr:row>
      <xdr:rowOff>0</xdr:rowOff>
    </xdr:from>
    <xdr:to>
      <xdr:col>13</xdr:col>
      <xdr:colOff>504825</xdr:colOff>
      <xdr:row>2</xdr:row>
      <xdr:rowOff>9525</xdr:rowOff>
    </xdr:to>
    <xdr:sp macro="" textlink="">
      <xdr:nvSpPr>
        <xdr:cNvPr id="1138" name="Line 6"/>
        <xdr:cNvSpPr>
          <a:spLocks noChangeShapeType="1"/>
        </xdr:cNvSpPr>
      </xdr:nvSpPr>
      <xdr:spPr bwMode="auto">
        <a:xfrm>
          <a:off x="13001625" y="400050"/>
          <a:ext cx="4762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142875</xdr:colOff>
      <xdr:row>7</xdr:row>
      <xdr:rowOff>76200</xdr:rowOff>
    </xdr:from>
    <xdr:to>
      <xdr:col>14</xdr:col>
      <xdr:colOff>600075</xdr:colOff>
      <xdr:row>7</xdr:row>
      <xdr:rowOff>76200</xdr:rowOff>
    </xdr:to>
    <xdr:sp macro="" textlink="">
      <xdr:nvSpPr>
        <xdr:cNvPr id="1139" name="Line 7"/>
        <xdr:cNvSpPr>
          <a:spLocks noChangeShapeType="1"/>
        </xdr:cNvSpPr>
      </xdr:nvSpPr>
      <xdr:spPr bwMode="auto">
        <a:xfrm>
          <a:off x="13773150" y="148590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600075</xdr:colOff>
      <xdr:row>7</xdr:row>
      <xdr:rowOff>76200</xdr:rowOff>
    </xdr:from>
    <xdr:to>
      <xdr:col>14</xdr:col>
      <xdr:colOff>600075</xdr:colOff>
      <xdr:row>10</xdr:row>
      <xdr:rowOff>76200</xdr:rowOff>
    </xdr:to>
    <xdr:sp macro="" textlink="">
      <xdr:nvSpPr>
        <xdr:cNvPr id="1140" name="Line 8"/>
        <xdr:cNvSpPr>
          <a:spLocks noChangeShapeType="1"/>
        </xdr:cNvSpPr>
      </xdr:nvSpPr>
      <xdr:spPr bwMode="auto">
        <a:xfrm>
          <a:off x="14230350" y="1485900"/>
          <a:ext cx="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15</xdr:col>
      <xdr:colOff>114300</xdr:colOff>
      <xdr:row>7</xdr:row>
      <xdr:rowOff>114300</xdr:rowOff>
    </xdr:from>
    <xdr:ext cx="313034" cy="528350"/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xmlns="" id="{2918DE43-28DD-4185-B6B6-0ABF06C408CF}"/>
            </a:ext>
          </a:extLst>
        </xdr:cNvPr>
        <xdr:cNvSpPr txBox="1">
          <a:spLocks noChangeArrowheads="1"/>
        </xdr:cNvSpPr>
      </xdr:nvSpPr>
      <xdr:spPr bwMode="auto">
        <a:xfrm>
          <a:off x="14376400" y="1536700"/>
          <a:ext cx="313034" cy="52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7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0">
            <a:lnSpc>
              <a:spcPts val="1700"/>
            </a:lnSpc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8</xdr:col>
      <xdr:colOff>381000</xdr:colOff>
      <xdr:row>6</xdr:row>
      <xdr:rowOff>57150</xdr:rowOff>
    </xdr:from>
    <xdr:to>
      <xdr:col>10</xdr:col>
      <xdr:colOff>19050</xdr:colOff>
      <xdr:row>6</xdr:row>
      <xdr:rowOff>57150</xdr:rowOff>
    </xdr:to>
    <xdr:sp macro="" textlink="">
      <xdr:nvSpPr>
        <xdr:cNvPr id="1142" name="Line 11"/>
        <xdr:cNvSpPr>
          <a:spLocks noChangeShapeType="1"/>
        </xdr:cNvSpPr>
      </xdr:nvSpPr>
      <xdr:spPr bwMode="auto">
        <a:xfrm flipH="1">
          <a:off x="9477375" y="1209675"/>
          <a:ext cx="1228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304800</xdr:colOff>
      <xdr:row>13</xdr:row>
      <xdr:rowOff>95250</xdr:rowOff>
    </xdr:from>
    <xdr:to>
      <xdr:col>8</xdr:col>
      <xdr:colOff>971550</xdr:colOff>
      <xdr:row>13</xdr:row>
      <xdr:rowOff>95250</xdr:rowOff>
    </xdr:to>
    <xdr:sp macro="" textlink="">
      <xdr:nvSpPr>
        <xdr:cNvPr id="1143" name="Line 12"/>
        <xdr:cNvSpPr>
          <a:spLocks noChangeShapeType="1"/>
        </xdr:cNvSpPr>
      </xdr:nvSpPr>
      <xdr:spPr bwMode="auto">
        <a:xfrm flipH="1">
          <a:off x="9401175" y="27336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83820</xdr:colOff>
      <xdr:row>8</xdr:row>
      <xdr:rowOff>114300</xdr:rowOff>
    </xdr:from>
    <xdr:ext cx="1198020" cy="528350"/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xmlns="" id="{7579D353-E4E9-497A-8182-24B9F5C0EB74}"/>
            </a:ext>
          </a:extLst>
        </xdr:cNvPr>
        <xdr:cNvSpPr txBox="1">
          <a:spLocks noChangeArrowheads="1"/>
        </xdr:cNvSpPr>
      </xdr:nvSpPr>
      <xdr:spPr bwMode="auto">
        <a:xfrm>
          <a:off x="9189720" y="1739900"/>
          <a:ext cx="1198020" cy="52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7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Height (ft)</a:t>
          </a:r>
        </a:p>
        <a:p>
          <a:pPr algn="l" rtl="0">
            <a:lnSpc>
              <a:spcPts val="1700"/>
            </a:lnSpc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8</xdr:col>
      <xdr:colOff>457200</xdr:colOff>
      <xdr:row>11</xdr:row>
      <xdr:rowOff>38100</xdr:rowOff>
    </xdr:from>
    <xdr:to>
      <xdr:col>8</xdr:col>
      <xdr:colOff>457200</xdr:colOff>
      <xdr:row>13</xdr:row>
      <xdr:rowOff>95250</xdr:rowOff>
    </xdr:to>
    <xdr:sp macro="" textlink="">
      <xdr:nvSpPr>
        <xdr:cNvPr id="1145" name="Line 14"/>
        <xdr:cNvSpPr>
          <a:spLocks noChangeShapeType="1"/>
        </xdr:cNvSpPr>
      </xdr:nvSpPr>
      <xdr:spPr bwMode="auto">
        <a:xfrm>
          <a:off x="9553575" y="227647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457200</xdr:colOff>
      <xdr:row>6</xdr:row>
      <xdr:rowOff>57150</xdr:rowOff>
    </xdr:from>
    <xdr:to>
      <xdr:col>8</xdr:col>
      <xdr:colOff>457200</xdr:colOff>
      <xdr:row>8</xdr:row>
      <xdr:rowOff>190500</xdr:rowOff>
    </xdr:to>
    <xdr:sp macro="" textlink="">
      <xdr:nvSpPr>
        <xdr:cNvPr id="1146" name="Line 15"/>
        <xdr:cNvSpPr>
          <a:spLocks noChangeShapeType="1"/>
        </xdr:cNvSpPr>
      </xdr:nvSpPr>
      <xdr:spPr bwMode="auto">
        <a:xfrm flipV="1">
          <a:off x="9553575" y="1209675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15</xdr:col>
      <xdr:colOff>144780</xdr:colOff>
      <xdr:row>5</xdr:row>
      <xdr:rowOff>112395</xdr:rowOff>
    </xdr:from>
    <xdr:ext cx="1448538" cy="528350"/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xmlns="" id="{14206FED-3D23-4FCE-8950-AAD8F027026F}"/>
            </a:ext>
          </a:extLst>
        </xdr:cNvPr>
        <xdr:cNvSpPr txBox="1">
          <a:spLocks noChangeArrowheads="1"/>
        </xdr:cNvSpPr>
      </xdr:nvSpPr>
      <xdr:spPr bwMode="auto">
        <a:xfrm>
          <a:off x="14406880" y="1115695"/>
          <a:ext cx="1448538" cy="52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7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Slope (&gt;3:1)</a:t>
          </a:r>
        </a:p>
        <a:p>
          <a:pPr algn="l" rtl="0">
            <a:lnSpc>
              <a:spcPts val="1700"/>
            </a:lnSpc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8</xdr:col>
      <xdr:colOff>1438275</xdr:colOff>
      <xdr:row>13</xdr:row>
      <xdr:rowOff>104775</xdr:rowOff>
    </xdr:from>
    <xdr:to>
      <xdr:col>8</xdr:col>
      <xdr:colOff>1438275</xdr:colOff>
      <xdr:row>17</xdr:row>
      <xdr:rowOff>133350</xdr:rowOff>
    </xdr:to>
    <xdr:sp macro="" textlink="">
      <xdr:nvSpPr>
        <xdr:cNvPr id="1148" name="Line 17"/>
        <xdr:cNvSpPr>
          <a:spLocks noChangeShapeType="1"/>
        </xdr:cNvSpPr>
      </xdr:nvSpPr>
      <xdr:spPr bwMode="auto">
        <a:xfrm flipV="1">
          <a:off x="10067925" y="27432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419100</xdr:colOff>
      <xdr:row>13</xdr:row>
      <xdr:rowOff>133350</xdr:rowOff>
    </xdr:from>
    <xdr:to>
      <xdr:col>15</xdr:col>
      <xdr:colOff>419100</xdr:colOff>
      <xdr:row>17</xdr:row>
      <xdr:rowOff>161925</xdr:rowOff>
    </xdr:to>
    <xdr:sp macro="" textlink="">
      <xdr:nvSpPr>
        <xdr:cNvPr id="1149" name="Line 18"/>
        <xdr:cNvSpPr>
          <a:spLocks noChangeShapeType="1"/>
        </xdr:cNvSpPr>
      </xdr:nvSpPr>
      <xdr:spPr bwMode="auto">
        <a:xfrm flipV="1">
          <a:off x="14658975" y="27717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1447800</xdr:colOff>
      <xdr:row>17</xdr:row>
      <xdr:rowOff>0</xdr:rowOff>
    </xdr:from>
    <xdr:to>
      <xdr:col>11</xdr:col>
      <xdr:colOff>76200</xdr:colOff>
      <xdr:row>17</xdr:row>
      <xdr:rowOff>0</xdr:rowOff>
    </xdr:to>
    <xdr:sp macro="" textlink="">
      <xdr:nvSpPr>
        <xdr:cNvPr id="1150" name="Line 19"/>
        <xdr:cNvSpPr>
          <a:spLocks noChangeShapeType="1"/>
        </xdr:cNvSpPr>
      </xdr:nvSpPr>
      <xdr:spPr bwMode="auto">
        <a:xfrm flipH="1">
          <a:off x="10067925" y="3438525"/>
          <a:ext cx="152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11</xdr:col>
      <xdr:colOff>38100</xdr:colOff>
      <xdr:row>16</xdr:row>
      <xdr:rowOff>38100</xdr:rowOff>
    </xdr:from>
    <xdr:ext cx="1916166" cy="357790"/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xmlns="" id="{CCD356A5-1D8C-4893-9B73-ABAB0300E20F}"/>
            </a:ext>
          </a:extLst>
        </xdr:cNvPr>
        <xdr:cNvSpPr txBox="1">
          <a:spLocks noChangeArrowheads="1"/>
        </xdr:cNvSpPr>
      </xdr:nvSpPr>
      <xdr:spPr bwMode="auto">
        <a:xfrm>
          <a:off x="11569700" y="3314700"/>
          <a:ext cx="1916166" cy="3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Bottom Width (ft)</a:t>
          </a:r>
        </a:p>
      </xdr:txBody>
    </xdr:sp>
    <xdr:clientData/>
  </xdr:oneCellAnchor>
  <xdr:twoCellAnchor>
    <xdr:from>
      <xdr:col>13</xdr:col>
      <xdr:colOff>466725</xdr:colOff>
      <xdr:row>17</xdr:row>
      <xdr:rowOff>0</xdr:rowOff>
    </xdr:from>
    <xdr:to>
      <xdr:col>15</xdr:col>
      <xdr:colOff>400050</xdr:colOff>
      <xdr:row>17</xdr:row>
      <xdr:rowOff>9525</xdr:rowOff>
    </xdr:to>
    <xdr:sp macro="" textlink="">
      <xdr:nvSpPr>
        <xdr:cNvPr id="1152" name="Line 21"/>
        <xdr:cNvSpPr>
          <a:spLocks noChangeShapeType="1"/>
        </xdr:cNvSpPr>
      </xdr:nvSpPr>
      <xdr:spPr bwMode="auto">
        <a:xfrm flipV="1">
          <a:off x="13439775" y="3438525"/>
          <a:ext cx="12001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1438275</xdr:colOff>
      <xdr:row>13</xdr:row>
      <xdr:rowOff>104775</xdr:rowOff>
    </xdr:from>
    <xdr:to>
      <xdr:col>8</xdr:col>
      <xdr:colOff>1438275</xdr:colOff>
      <xdr:row>17</xdr:row>
      <xdr:rowOff>133350</xdr:rowOff>
    </xdr:to>
    <xdr:sp macro="" textlink="">
      <xdr:nvSpPr>
        <xdr:cNvPr id="1153" name="Line 27"/>
        <xdr:cNvSpPr>
          <a:spLocks noChangeShapeType="1"/>
        </xdr:cNvSpPr>
      </xdr:nvSpPr>
      <xdr:spPr bwMode="auto">
        <a:xfrm flipV="1">
          <a:off x="10067925" y="2743200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1447800</xdr:colOff>
      <xdr:row>17</xdr:row>
      <xdr:rowOff>0</xdr:rowOff>
    </xdr:from>
    <xdr:to>
      <xdr:col>11</xdr:col>
      <xdr:colOff>76200</xdr:colOff>
      <xdr:row>17</xdr:row>
      <xdr:rowOff>0</xdr:rowOff>
    </xdr:to>
    <xdr:sp macro="" textlink="">
      <xdr:nvSpPr>
        <xdr:cNvPr id="1154" name="Line 28"/>
        <xdr:cNvSpPr>
          <a:spLocks noChangeShapeType="1"/>
        </xdr:cNvSpPr>
      </xdr:nvSpPr>
      <xdr:spPr bwMode="auto">
        <a:xfrm flipH="1">
          <a:off x="10067925" y="3438525"/>
          <a:ext cx="152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298449</xdr:colOff>
      <xdr:row>2</xdr:row>
      <xdr:rowOff>114300</xdr:rowOff>
    </xdr:from>
    <xdr:to>
      <xdr:col>19</xdr:col>
      <xdr:colOff>431902</xdr:colOff>
      <xdr:row>17</xdr:row>
      <xdr:rowOff>212725</xdr:rowOff>
    </xdr:to>
    <xdr:grpSp>
      <xdr:nvGrpSpPr>
        <xdr:cNvPr id="23" name="Group 22"/>
        <xdr:cNvGrpSpPr/>
      </xdr:nvGrpSpPr>
      <xdr:grpSpPr>
        <a:xfrm>
          <a:off x="11258549" y="520700"/>
          <a:ext cx="6254853" cy="3209925"/>
          <a:chOff x="5418455" y="0"/>
          <a:chExt cx="7484848" cy="3742720"/>
        </a:xfrm>
      </xdr:grpSpPr>
      <xdr:sp macro="" textlink="">
        <xdr:nvSpPr>
          <xdr:cNvPr id="2161" name="Line 19"/>
          <xdr:cNvSpPr>
            <a:spLocks noChangeShapeType="1"/>
          </xdr:cNvSpPr>
        </xdr:nvSpPr>
        <xdr:spPr bwMode="auto">
          <a:xfrm flipV="1">
            <a:off x="11706225" y="2724150"/>
            <a:ext cx="0" cy="8413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71" name="Text Box 23">
            <a:extLst>
              <a:ext uri="{FF2B5EF4-FFF2-40B4-BE49-F238E27FC236}">
                <a16:creationId xmlns:a16="http://schemas.microsoft.com/office/drawing/2014/main" xmlns="" id="{3DD53850-6D40-4338-9EFF-765F1E32FB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19770" y="3214370"/>
            <a:ext cx="1980222" cy="5283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lnSpc>
                <a:spcPts val="1700"/>
              </a:lnSpc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Bottom Width (m)</a:t>
            </a:r>
          </a:p>
          <a:p>
            <a:pPr algn="l" rtl="0">
              <a:lnSpc>
                <a:spcPts val="1700"/>
              </a:lnSpc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22" name="Group 21"/>
          <xdr:cNvGrpSpPr/>
        </xdr:nvGrpSpPr>
        <xdr:grpSpPr>
          <a:xfrm>
            <a:off x="5418455" y="0"/>
            <a:ext cx="7484848" cy="3536950"/>
            <a:chOff x="9314180" y="0"/>
            <a:chExt cx="7475323" cy="3536950"/>
          </a:xfrm>
        </xdr:grpSpPr>
        <xdr:sp macro="" textlink="">
          <xdr:nvSpPr>
            <xdr:cNvPr id="2049" name="AutoShape 1">
              <a:extLst>
                <a:ext uri="{FF2B5EF4-FFF2-40B4-BE49-F238E27FC236}">
                  <a16:creationId xmlns:a16="http://schemas.microsoft.com/office/drawing/2014/main" xmlns="" id="{EF61F457-47F2-4660-B247-950126DE931D}"/>
                </a:ext>
              </a:extLst>
            </xdr:cNvPr>
            <xdr:cNvSpPr>
              <a:spLocks noChangeArrowheads="1"/>
            </xdr:cNvSpPr>
          </xdr:nvSpPr>
          <xdr:spPr bwMode="auto">
            <a:xfrm rot="10800000">
              <a:off x="10678160" y="1010920"/>
              <a:ext cx="4881845" cy="1591953"/>
            </a:xfrm>
            <a:custGeom>
              <a:avLst/>
              <a:gdLst>
                <a:gd name="G0" fmla="+- 5400 0 0"/>
                <a:gd name="G1" fmla="+- 21600 0 5400"/>
                <a:gd name="G2" fmla="*/ 5400 1 2"/>
                <a:gd name="G3" fmla="+- 21600 0 G2"/>
                <a:gd name="G4" fmla="+/ 5400 21600 2"/>
                <a:gd name="G5" fmla="+/ G1 0 2"/>
                <a:gd name="G6" fmla="*/ 21600 21600 5400"/>
                <a:gd name="G7" fmla="*/ G6 1 2"/>
                <a:gd name="G8" fmla="+- 21600 0 G7"/>
                <a:gd name="G9" fmla="*/ 21600 1 2"/>
                <a:gd name="G10" fmla="+- 5400 0 G9"/>
                <a:gd name="G11" fmla="?: G10 G8 0"/>
                <a:gd name="G12" fmla="?: G10 G7 21600"/>
                <a:gd name="T0" fmla="*/ 18900 w 21600"/>
                <a:gd name="T1" fmla="*/ 10800 h 21600"/>
                <a:gd name="T2" fmla="*/ 10800 w 21600"/>
                <a:gd name="T3" fmla="*/ 21600 h 21600"/>
                <a:gd name="T4" fmla="*/ 2700 w 21600"/>
                <a:gd name="T5" fmla="*/ 10800 h 21600"/>
                <a:gd name="T6" fmla="*/ 10800 w 21600"/>
                <a:gd name="T7" fmla="*/ 0 h 21600"/>
                <a:gd name="T8" fmla="*/ 4500 w 21600"/>
                <a:gd name="T9" fmla="*/ 4500 h 21600"/>
                <a:gd name="T10" fmla="*/ 17100 w 21600"/>
                <a:gd name="T11" fmla="*/ 171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close/>
                </a:path>
              </a:pathLst>
            </a:custGeom>
            <a:solidFill>
              <a:srgbClr val="008000"/>
            </a:solidFill>
            <a:ln w="2857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  <a:r>
                <a:rPr lang="en-US" sz="1800" b="0" i="0" u="none" strike="noStrike" baseline="0">
                  <a:solidFill>
                    <a:srgbClr val="FCF305"/>
                  </a:solidFill>
                  <a:latin typeface="Arial"/>
                  <a:cs typeface="Arial"/>
                </a:rPr>
                <a:t>       </a:t>
              </a:r>
              <a:r>
                <a:rPr lang="en-US" sz="1800" b="1" i="0" u="none" strike="noStrike" baseline="0">
                  <a:solidFill>
                    <a:srgbClr val="FCF305"/>
                  </a:solidFill>
                  <a:latin typeface="Arial"/>
                  <a:cs typeface="Arial"/>
                </a:rPr>
                <a:t>Silage Pile</a:t>
              </a:r>
            </a:p>
            <a:p>
              <a:pPr algn="l" rtl="0">
                <a:defRPr sz="1000"/>
              </a:pPr>
              <a:r>
                <a:rPr lang="en-US" sz="1800" b="1" i="0" u="none" strike="noStrike" baseline="0">
                  <a:solidFill>
                    <a:srgbClr val="FCF305"/>
                  </a:solidFill>
                  <a:latin typeface="Arial"/>
                  <a:cs typeface="Arial"/>
                </a:rPr>
                <a:t>      Cross Section</a:t>
              </a:r>
            </a:p>
          </xdr:txBody>
        </xdr:sp>
        <xdr:sp macro="" textlink="">
          <xdr:nvSpPr>
            <xdr:cNvPr id="2148" name="Line 2"/>
            <xdr:cNvSpPr>
              <a:spLocks noChangeShapeType="1"/>
            </xdr:cNvSpPr>
          </xdr:nvSpPr>
          <xdr:spPr bwMode="auto">
            <a:xfrm flipV="1">
              <a:off x="11757025" y="161925"/>
              <a:ext cx="0" cy="94615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49" name="Line 3"/>
            <xdr:cNvSpPr>
              <a:spLocks noChangeShapeType="1"/>
            </xdr:cNvSpPr>
          </xdr:nvSpPr>
          <xdr:spPr bwMode="auto">
            <a:xfrm flipV="1">
              <a:off x="14347825" y="76200"/>
              <a:ext cx="0" cy="94615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52" name="Text Box 4">
              <a:extLst>
                <a:ext uri="{FF2B5EF4-FFF2-40B4-BE49-F238E27FC236}">
                  <a16:creationId xmlns:a16="http://schemas.microsoft.com/office/drawing/2014/main" xmlns="" id="{B45AD63D-AE6A-4420-BF67-32FF5921A39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179300" y="0"/>
              <a:ext cx="1646733" cy="5283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lnSpc>
                  <a:spcPts val="1700"/>
                </a:lnSpc>
                <a:defRPr sz="1000"/>
              </a:pPr>
              <a:r>
                <a:rPr lang="en-US" sz="1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Top Width (m)</a:t>
              </a:r>
            </a:p>
            <a:p>
              <a:pPr algn="l" rtl="0">
                <a:lnSpc>
                  <a:spcPts val="17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2151" name="Line 5"/>
            <xdr:cNvSpPr>
              <a:spLocks noChangeShapeType="1"/>
            </xdr:cNvSpPr>
          </xdr:nvSpPr>
          <xdr:spPr bwMode="auto">
            <a:xfrm flipH="1">
              <a:off x="11757025" y="212725"/>
              <a:ext cx="50800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2152" name="Line 7"/>
            <xdr:cNvSpPr>
              <a:spLocks noChangeShapeType="1"/>
            </xdr:cNvSpPr>
          </xdr:nvSpPr>
          <xdr:spPr bwMode="auto">
            <a:xfrm>
              <a:off x="14576425" y="1333500"/>
              <a:ext cx="606425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53" name="Line 8"/>
            <xdr:cNvSpPr>
              <a:spLocks noChangeShapeType="1"/>
            </xdr:cNvSpPr>
          </xdr:nvSpPr>
          <xdr:spPr bwMode="auto">
            <a:xfrm>
              <a:off x="15182850" y="1333500"/>
              <a:ext cx="0" cy="60960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58" name="Text Box 10">
              <a:extLst>
                <a:ext uri="{FF2B5EF4-FFF2-40B4-BE49-F238E27FC236}">
                  <a16:creationId xmlns:a16="http://schemas.microsoft.com/office/drawing/2014/main" xmlns="" id="{1CF2FB49-B075-4772-9B1C-688433B01A7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209520" y="1574800"/>
              <a:ext cx="313034" cy="5283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lnSpc>
                  <a:spcPts val="1700"/>
                </a:lnSpc>
                <a:defRPr sz="1000"/>
              </a:pPr>
              <a:r>
                <a:rPr lang="en-US" sz="1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  <a:p>
              <a:pPr algn="l" rtl="0">
                <a:lnSpc>
                  <a:spcPts val="17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2155" name="Line 11"/>
            <xdr:cNvSpPr>
              <a:spLocks noChangeShapeType="1"/>
            </xdr:cNvSpPr>
          </xdr:nvSpPr>
          <xdr:spPr bwMode="auto">
            <a:xfrm flipH="1">
              <a:off x="9607550" y="1012825"/>
              <a:ext cx="1920875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56" name="Line 12"/>
            <xdr:cNvSpPr>
              <a:spLocks noChangeShapeType="1"/>
            </xdr:cNvSpPr>
          </xdr:nvSpPr>
          <xdr:spPr bwMode="auto">
            <a:xfrm flipH="1">
              <a:off x="9540875" y="2597150"/>
              <a:ext cx="99060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61" name="Text Box 13">
              <a:extLst>
                <a:ext uri="{FF2B5EF4-FFF2-40B4-BE49-F238E27FC236}">
                  <a16:creationId xmlns:a16="http://schemas.microsoft.com/office/drawing/2014/main" xmlns="" id="{DAB08312-0FBC-408A-9F11-FD8D3539658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14180" y="1574800"/>
              <a:ext cx="1262077" cy="5283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lnSpc>
                  <a:spcPts val="1700"/>
                </a:lnSpc>
                <a:defRPr sz="1000"/>
              </a:pPr>
              <a:r>
                <a:rPr lang="en-US" sz="1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Height (m)</a:t>
              </a:r>
            </a:p>
            <a:p>
              <a:pPr algn="l" rtl="0">
                <a:lnSpc>
                  <a:spcPts val="17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2158" name="Line 14"/>
            <xdr:cNvSpPr>
              <a:spLocks noChangeShapeType="1"/>
            </xdr:cNvSpPr>
          </xdr:nvSpPr>
          <xdr:spPr bwMode="auto">
            <a:xfrm>
              <a:off x="9683750" y="2133600"/>
              <a:ext cx="0" cy="46355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2159" name="Line 15"/>
            <xdr:cNvSpPr>
              <a:spLocks noChangeShapeType="1"/>
            </xdr:cNvSpPr>
          </xdr:nvSpPr>
          <xdr:spPr bwMode="auto">
            <a:xfrm flipV="1">
              <a:off x="9683750" y="1012825"/>
              <a:ext cx="0" cy="63817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2064" name="Text Box 16">
              <a:extLst>
                <a:ext uri="{FF2B5EF4-FFF2-40B4-BE49-F238E27FC236}">
                  <a16:creationId xmlns:a16="http://schemas.microsoft.com/office/drawing/2014/main" xmlns="" id="{BF6D692F-582B-4B29-9549-086C3D700DB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340965" y="1117600"/>
              <a:ext cx="1448538" cy="5283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lnSpc>
                  <a:spcPts val="1700"/>
                </a:lnSpc>
                <a:defRPr sz="1000"/>
              </a:pPr>
              <a:r>
                <a:rPr lang="en-US" sz="1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Slope (&gt;3:1)</a:t>
              </a:r>
            </a:p>
            <a:p>
              <a:pPr algn="l" rtl="0">
                <a:lnSpc>
                  <a:spcPts val="17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2162" name="Line 20"/>
            <xdr:cNvSpPr>
              <a:spLocks noChangeShapeType="1"/>
            </xdr:cNvSpPr>
          </xdr:nvSpPr>
          <xdr:spPr bwMode="auto">
            <a:xfrm>
              <a:off x="14243050" y="3400425"/>
              <a:ext cx="132080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2163" name="Line 21"/>
            <xdr:cNvSpPr>
              <a:spLocks noChangeShapeType="1"/>
            </xdr:cNvSpPr>
          </xdr:nvSpPr>
          <xdr:spPr bwMode="auto">
            <a:xfrm flipV="1">
              <a:off x="10683875" y="2692400"/>
              <a:ext cx="0" cy="84455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64" name="Line 22"/>
            <xdr:cNvSpPr>
              <a:spLocks noChangeShapeType="1"/>
            </xdr:cNvSpPr>
          </xdr:nvSpPr>
          <xdr:spPr bwMode="auto">
            <a:xfrm flipH="1">
              <a:off x="10693400" y="3400425"/>
              <a:ext cx="1533525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2166" name="Line 27"/>
            <xdr:cNvSpPr>
              <a:spLocks noChangeShapeType="1"/>
            </xdr:cNvSpPr>
          </xdr:nvSpPr>
          <xdr:spPr bwMode="auto">
            <a:xfrm>
              <a:off x="13792200" y="203200"/>
              <a:ext cx="58420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38099</xdr:colOff>
      <xdr:row>6</xdr:row>
      <xdr:rowOff>46354</xdr:rowOff>
    </xdr:from>
    <xdr:to>
      <xdr:col>15</xdr:col>
      <xdr:colOff>431732</xdr:colOff>
      <xdr:row>13</xdr:row>
      <xdr:rowOff>109903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2D639945-F7B2-41D7-9654-CD10E28354AF}"/>
            </a:ext>
          </a:extLst>
        </xdr:cNvPr>
        <xdr:cNvSpPr>
          <a:spLocks noChangeArrowheads="1"/>
        </xdr:cNvSpPr>
      </xdr:nvSpPr>
      <xdr:spPr bwMode="auto">
        <a:xfrm rot="10800000">
          <a:off x="11553580" y="1365200"/>
          <a:ext cx="4557767" cy="1516722"/>
        </a:xfrm>
        <a:custGeom>
          <a:avLst/>
          <a:gdLst>
            <a:gd name="G0" fmla="+- 5400 0 0"/>
            <a:gd name="G1" fmla="+- 21600 0 5400"/>
            <a:gd name="G2" fmla="*/ 5400 1 2"/>
            <a:gd name="G3" fmla="+- 21600 0 G2"/>
            <a:gd name="G4" fmla="+/ 5400 21600 2"/>
            <a:gd name="G5" fmla="+/ G1 0 2"/>
            <a:gd name="G6" fmla="*/ 21600 21600 5400"/>
            <a:gd name="G7" fmla="*/ G6 1 2"/>
            <a:gd name="G8" fmla="+- 21600 0 G7"/>
            <a:gd name="G9" fmla="*/ 21600 1 2"/>
            <a:gd name="G10" fmla="+- 5400 0 G9"/>
            <a:gd name="G11" fmla="?: G10 G8 0"/>
            <a:gd name="G12" fmla="?: G10 G7 21600"/>
            <a:gd name="T0" fmla="*/ 18900 w 21600"/>
            <a:gd name="T1" fmla="*/ 10800 h 21600"/>
            <a:gd name="T2" fmla="*/ 10800 w 21600"/>
            <a:gd name="T3" fmla="*/ 21600 h 21600"/>
            <a:gd name="T4" fmla="*/ 2700 w 21600"/>
            <a:gd name="T5" fmla="*/ 10800 h 21600"/>
            <a:gd name="T6" fmla="*/ 10800 w 21600"/>
            <a:gd name="T7" fmla="*/ 0 h 21600"/>
            <a:gd name="T8" fmla="*/ 4500 w 21600"/>
            <a:gd name="T9" fmla="*/ 4500 h 21600"/>
            <a:gd name="T10" fmla="*/ 17100 w 21600"/>
            <a:gd name="T11" fmla="*/ 171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008000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FCF305"/>
              </a:solidFill>
              <a:latin typeface="Arial"/>
              <a:cs typeface="Arial"/>
            </a:rPr>
            <a:t> </a:t>
          </a:r>
          <a:r>
            <a:rPr lang="en-US" sz="1600" b="1" i="0" u="none" strike="noStrike" baseline="0">
              <a:solidFill>
                <a:srgbClr val="FCF305"/>
              </a:solidFill>
              <a:latin typeface="Arial"/>
              <a:cs typeface="Arial"/>
            </a:rPr>
            <a:t>Sección transversal        de la pila de ensilado   </a:t>
          </a:r>
        </a:p>
      </xdr:txBody>
    </xdr:sp>
    <xdr:clientData/>
  </xdr:twoCellAnchor>
  <xdr:twoCellAnchor>
    <xdr:from>
      <xdr:col>10</xdr:col>
      <xdr:colOff>533400</xdr:colOff>
      <xdr:row>0</xdr:row>
      <xdr:rowOff>180975</xdr:rowOff>
    </xdr:from>
    <xdr:to>
      <xdr:col>10</xdr:col>
      <xdr:colOff>533400</xdr:colOff>
      <xdr:row>5</xdr:row>
      <xdr:rowOff>133350</xdr:rowOff>
    </xdr:to>
    <xdr:sp macro="" textlink="">
      <xdr:nvSpPr>
        <xdr:cNvPr id="5166" name="Line 2"/>
        <xdr:cNvSpPr>
          <a:spLocks noChangeShapeType="1"/>
        </xdr:cNvSpPr>
      </xdr:nvSpPr>
      <xdr:spPr bwMode="auto">
        <a:xfrm flipV="1">
          <a:off x="12658725" y="180975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514350</xdr:colOff>
      <xdr:row>0</xdr:row>
      <xdr:rowOff>180975</xdr:rowOff>
    </xdr:from>
    <xdr:to>
      <xdr:col>13</xdr:col>
      <xdr:colOff>514350</xdr:colOff>
      <xdr:row>5</xdr:row>
      <xdr:rowOff>133350</xdr:rowOff>
    </xdr:to>
    <xdr:sp macro="" textlink="">
      <xdr:nvSpPr>
        <xdr:cNvPr id="5167" name="Line 3"/>
        <xdr:cNvSpPr>
          <a:spLocks noChangeShapeType="1"/>
        </xdr:cNvSpPr>
      </xdr:nvSpPr>
      <xdr:spPr bwMode="auto">
        <a:xfrm flipV="1">
          <a:off x="14916150" y="180975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783590</xdr:colOff>
      <xdr:row>0</xdr:row>
      <xdr:rowOff>148001</xdr:rowOff>
    </xdr:from>
    <xdr:ext cx="1770036" cy="2988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B472CEAF-9638-4E08-87D8-D8E83B253A62}"/>
            </a:ext>
          </a:extLst>
        </xdr:cNvPr>
        <xdr:cNvSpPr txBox="1">
          <a:spLocks noChangeArrowheads="1"/>
        </xdr:cNvSpPr>
      </xdr:nvSpPr>
      <xdr:spPr bwMode="auto">
        <a:xfrm>
          <a:off x="12921859" y="148001"/>
          <a:ext cx="1770036" cy="29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Ancho del tope (ft)</a:t>
          </a:r>
        </a:p>
      </xdr:txBody>
    </xdr:sp>
    <xdr:clientData/>
  </xdr:oneCellAnchor>
  <xdr:twoCellAnchor>
    <xdr:from>
      <xdr:col>10</xdr:col>
      <xdr:colOff>533400</xdr:colOff>
      <xdr:row>2</xdr:row>
      <xdr:rowOff>19050</xdr:rowOff>
    </xdr:from>
    <xdr:to>
      <xdr:col>11</xdr:col>
      <xdr:colOff>0</xdr:colOff>
      <xdr:row>2</xdr:row>
      <xdr:rowOff>19050</xdr:rowOff>
    </xdr:to>
    <xdr:sp macro="" textlink="">
      <xdr:nvSpPr>
        <xdr:cNvPr id="5169" name="Line 5"/>
        <xdr:cNvSpPr>
          <a:spLocks noChangeShapeType="1"/>
        </xdr:cNvSpPr>
      </xdr:nvSpPr>
      <xdr:spPr bwMode="auto">
        <a:xfrm flipH="1">
          <a:off x="12658725" y="4191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28575</xdr:colOff>
      <xdr:row>2</xdr:row>
      <xdr:rowOff>0</xdr:rowOff>
    </xdr:from>
    <xdr:to>
      <xdr:col>13</xdr:col>
      <xdr:colOff>495300</xdr:colOff>
      <xdr:row>2</xdr:row>
      <xdr:rowOff>19050</xdr:rowOff>
    </xdr:to>
    <xdr:sp macro="" textlink="">
      <xdr:nvSpPr>
        <xdr:cNvPr id="5170" name="Line 6"/>
        <xdr:cNvSpPr>
          <a:spLocks noChangeShapeType="1"/>
        </xdr:cNvSpPr>
      </xdr:nvSpPr>
      <xdr:spPr bwMode="auto">
        <a:xfrm>
          <a:off x="14430375" y="400050"/>
          <a:ext cx="4667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142875</xdr:colOff>
      <xdr:row>7</xdr:row>
      <xdr:rowOff>76200</xdr:rowOff>
    </xdr:from>
    <xdr:to>
      <xdr:col>14</xdr:col>
      <xdr:colOff>609600</xdr:colOff>
      <xdr:row>7</xdr:row>
      <xdr:rowOff>76200</xdr:rowOff>
    </xdr:to>
    <xdr:sp macro="" textlink="">
      <xdr:nvSpPr>
        <xdr:cNvPr id="5171" name="Line 7"/>
        <xdr:cNvSpPr>
          <a:spLocks noChangeShapeType="1"/>
        </xdr:cNvSpPr>
      </xdr:nvSpPr>
      <xdr:spPr bwMode="auto">
        <a:xfrm>
          <a:off x="15192375" y="148590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</xdr:row>
      <xdr:rowOff>76200</xdr:rowOff>
    </xdr:from>
    <xdr:to>
      <xdr:col>14</xdr:col>
      <xdr:colOff>590550</xdr:colOff>
      <xdr:row>10</xdr:row>
      <xdr:rowOff>76200</xdr:rowOff>
    </xdr:to>
    <xdr:sp macro="" textlink="">
      <xdr:nvSpPr>
        <xdr:cNvPr id="5172" name="Line 8"/>
        <xdr:cNvSpPr>
          <a:spLocks noChangeShapeType="1"/>
        </xdr:cNvSpPr>
      </xdr:nvSpPr>
      <xdr:spPr bwMode="auto">
        <a:xfrm>
          <a:off x="15640050" y="1485900"/>
          <a:ext cx="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15</xdr:col>
      <xdr:colOff>133985</xdr:colOff>
      <xdr:row>7</xdr:row>
      <xdr:rowOff>121920</xdr:rowOff>
    </xdr:from>
    <xdr:ext cx="313034" cy="515526"/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xmlns="" id="{6664D251-18DB-47E7-9F5C-F6ECA3F8B6FB}"/>
            </a:ext>
          </a:extLst>
        </xdr:cNvPr>
        <xdr:cNvSpPr txBox="1">
          <a:spLocks noChangeArrowheads="1"/>
        </xdr:cNvSpPr>
      </xdr:nvSpPr>
      <xdr:spPr bwMode="auto">
        <a:xfrm>
          <a:off x="15813600" y="1514035"/>
          <a:ext cx="313034" cy="515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7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  <a:p>
          <a:pPr algn="l" rtl="0">
            <a:lnSpc>
              <a:spcPts val="1600"/>
            </a:lnSpc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oneCellAnchor>
  <xdr:twoCellAnchor>
    <xdr:from>
      <xdr:col>8</xdr:col>
      <xdr:colOff>381000</xdr:colOff>
      <xdr:row>6</xdr:row>
      <xdr:rowOff>57150</xdr:rowOff>
    </xdr:from>
    <xdr:to>
      <xdr:col>10</xdr:col>
      <xdr:colOff>19050</xdr:colOff>
      <xdr:row>6</xdr:row>
      <xdr:rowOff>57150</xdr:rowOff>
    </xdr:to>
    <xdr:sp macro="" textlink="">
      <xdr:nvSpPr>
        <xdr:cNvPr id="5174" name="Line 11"/>
        <xdr:cNvSpPr>
          <a:spLocks noChangeShapeType="1"/>
        </xdr:cNvSpPr>
      </xdr:nvSpPr>
      <xdr:spPr bwMode="auto">
        <a:xfrm flipH="1">
          <a:off x="10925175" y="12096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295275</xdr:colOff>
      <xdr:row>13</xdr:row>
      <xdr:rowOff>95250</xdr:rowOff>
    </xdr:from>
    <xdr:to>
      <xdr:col>8</xdr:col>
      <xdr:colOff>962025</xdr:colOff>
      <xdr:row>13</xdr:row>
      <xdr:rowOff>95250</xdr:rowOff>
    </xdr:to>
    <xdr:sp macro="" textlink="">
      <xdr:nvSpPr>
        <xdr:cNvPr id="5175" name="Line 12"/>
        <xdr:cNvSpPr>
          <a:spLocks noChangeShapeType="1"/>
        </xdr:cNvSpPr>
      </xdr:nvSpPr>
      <xdr:spPr bwMode="auto">
        <a:xfrm flipH="1">
          <a:off x="10839450" y="27336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79375</xdr:colOff>
      <xdr:row>8</xdr:row>
      <xdr:rowOff>131445</xdr:rowOff>
    </xdr:from>
    <xdr:ext cx="1428981" cy="515526"/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xmlns="" id="{5136E233-8578-4BD8-AAAC-31409F912E4E}"/>
            </a:ext>
          </a:extLst>
        </xdr:cNvPr>
        <xdr:cNvSpPr txBox="1">
          <a:spLocks noChangeArrowheads="1"/>
        </xdr:cNvSpPr>
      </xdr:nvSpPr>
      <xdr:spPr bwMode="auto">
        <a:xfrm>
          <a:off x="10630144" y="1718945"/>
          <a:ext cx="1428981" cy="515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7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Altura (pies)</a:t>
          </a:r>
        </a:p>
        <a:p>
          <a:pPr algn="l" rtl="0">
            <a:lnSpc>
              <a:spcPts val="1600"/>
            </a:lnSpc>
            <a:defRPr sz="1000"/>
          </a:pPr>
          <a:endParaRPr lang="en-US" sz="1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oneCellAnchor>
  <xdr:twoCellAnchor>
    <xdr:from>
      <xdr:col>8</xdr:col>
      <xdr:colOff>447675</xdr:colOff>
      <xdr:row>11</xdr:row>
      <xdr:rowOff>38100</xdr:rowOff>
    </xdr:from>
    <xdr:to>
      <xdr:col>8</xdr:col>
      <xdr:colOff>447675</xdr:colOff>
      <xdr:row>13</xdr:row>
      <xdr:rowOff>95250</xdr:rowOff>
    </xdr:to>
    <xdr:sp macro="" textlink="">
      <xdr:nvSpPr>
        <xdr:cNvPr id="5177" name="Line 14"/>
        <xdr:cNvSpPr>
          <a:spLocks noChangeShapeType="1"/>
        </xdr:cNvSpPr>
      </xdr:nvSpPr>
      <xdr:spPr bwMode="auto">
        <a:xfrm>
          <a:off x="10991850" y="227647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447675</xdr:colOff>
      <xdr:row>6</xdr:row>
      <xdr:rowOff>57150</xdr:rowOff>
    </xdr:from>
    <xdr:to>
      <xdr:col>8</xdr:col>
      <xdr:colOff>447675</xdr:colOff>
      <xdr:row>8</xdr:row>
      <xdr:rowOff>180975</xdr:rowOff>
    </xdr:to>
    <xdr:sp macro="" textlink="">
      <xdr:nvSpPr>
        <xdr:cNvPr id="5178" name="Line 15"/>
        <xdr:cNvSpPr>
          <a:spLocks noChangeShapeType="1"/>
        </xdr:cNvSpPr>
      </xdr:nvSpPr>
      <xdr:spPr bwMode="auto">
        <a:xfrm flipV="1">
          <a:off x="10991850" y="1209675"/>
          <a:ext cx="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15</xdr:col>
      <xdr:colOff>147320</xdr:colOff>
      <xdr:row>5</xdr:row>
      <xdr:rowOff>124460</xdr:rowOff>
    </xdr:from>
    <xdr:ext cx="1897764" cy="566822"/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xmlns="" id="{AACF3116-D933-4EE5-8C87-B799877A4396}"/>
            </a:ext>
          </a:extLst>
        </xdr:cNvPr>
        <xdr:cNvSpPr txBox="1">
          <a:spLocks noChangeArrowheads="1"/>
        </xdr:cNvSpPr>
      </xdr:nvSpPr>
      <xdr:spPr bwMode="auto">
        <a:xfrm>
          <a:off x="15826935" y="1101383"/>
          <a:ext cx="1897764" cy="566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900"/>
            </a:lnSpc>
            <a:defRPr sz="1000"/>
          </a:pPr>
          <a:r>
            <a:rPr lang="sk-SK"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Pendiente (&gt;3:1)</a:t>
          </a:r>
        </a:p>
        <a:p>
          <a:pPr algn="l" rtl="0">
            <a:lnSpc>
              <a:spcPts val="1800"/>
            </a:lnSpc>
            <a:defRPr sz="1000"/>
          </a:pPr>
          <a:endParaRPr lang="sk-SK" sz="18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oneCellAnchor>
  <xdr:twoCellAnchor>
    <xdr:from>
      <xdr:col>8</xdr:col>
      <xdr:colOff>1428750</xdr:colOff>
      <xdr:row>13</xdr:row>
      <xdr:rowOff>104775</xdr:rowOff>
    </xdr:from>
    <xdr:to>
      <xdr:col>8</xdr:col>
      <xdr:colOff>1428750</xdr:colOff>
      <xdr:row>17</xdr:row>
      <xdr:rowOff>133350</xdr:rowOff>
    </xdr:to>
    <xdr:sp macro="" textlink="">
      <xdr:nvSpPr>
        <xdr:cNvPr id="5180" name="Line 17"/>
        <xdr:cNvSpPr>
          <a:spLocks noChangeShapeType="1"/>
        </xdr:cNvSpPr>
      </xdr:nvSpPr>
      <xdr:spPr bwMode="auto">
        <a:xfrm flipV="1">
          <a:off x="11506200" y="2743200"/>
          <a:ext cx="0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428625</xdr:colOff>
      <xdr:row>13</xdr:row>
      <xdr:rowOff>133350</xdr:rowOff>
    </xdr:from>
    <xdr:to>
      <xdr:col>15</xdr:col>
      <xdr:colOff>428625</xdr:colOff>
      <xdr:row>17</xdr:row>
      <xdr:rowOff>161925</xdr:rowOff>
    </xdr:to>
    <xdr:sp macro="" textlink="">
      <xdr:nvSpPr>
        <xdr:cNvPr id="5181" name="Line 18"/>
        <xdr:cNvSpPr>
          <a:spLocks noChangeShapeType="1"/>
        </xdr:cNvSpPr>
      </xdr:nvSpPr>
      <xdr:spPr bwMode="auto">
        <a:xfrm flipV="1">
          <a:off x="16087725" y="2771775"/>
          <a:ext cx="0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1428750</xdr:colOff>
      <xdr:row>17</xdr:row>
      <xdr:rowOff>0</xdr:rowOff>
    </xdr:from>
    <xdr:to>
      <xdr:col>11</xdr:col>
      <xdr:colOff>85725</xdr:colOff>
      <xdr:row>17</xdr:row>
      <xdr:rowOff>0</xdr:rowOff>
    </xdr:to>
    <xdr:sp macro="" textlink="">
      <xdr:nvSpPr>
        <xdr:cNvPr id="5182" name="Line 19"/>
        <xdr:cNvSpPr>
          <a:spLocks noChangeShapeType="1"/>
        </xdr:cNvSpPr>
      </xdr:nvSpPr>
      <xdr:spPr bwMode="auto">
        <a:xfrm flipH="1">
          <a:off x="11506200" y="351472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10</xdr:col>
      <xdr:colOff>819637</xdr:colOff>
      <xdr:row>16</xdr:row>
      <xdr:rowOff>25888</xdr:rowOff>
    </xdr:from>
    <xdr:ext cx="2202847" cy="328295"/>
    <xdr:sp macro="" textlink="">
      <xdr:nvSpPr>
        <xdr:cNvPr id="20" name="Text Box 20">
          <a:extLst>
            <a:ext uri="{FF2B5EF4-FFF2-40B4-BE49-F238E27FC236}">
              <a16:creationId xmlns:a16="http://schemas.microsoft.com/office/drawing/2014/main" xmlns="" id="{AB289103-2B6F-4453-B628-F30575ABC7B1}"/>
            </a:ext>
          </a:extLst>
        </xdr:cNvPr>
        <xdr:cNvSpPr txBox="1">
          <a:spLocks noChangeArrowheads="1"/>
        </xdr:cNvSpPr>
      </xdr:nvSpPr>
      <xdr:spPr bwMode="auto">
        <a:xfrm>
          <a:off x="12957906" y="3469542"/>
          <a:ext cx="2202847" cy="328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Ancho de la base (ft)</a:t>
          </a:r>
        </a:p>
      </xdr:txBody>
    </xdr:sp>
    <xdr:clientData/>
  </xdr:oneCellAnchor>
  <xdr:twoCellAnchor>
    <xdr:from>
      <xdr:col>13</xdr:col>
      <xdr:colOff>466725</xdr:colOff>
      <xdr:row>17</xdr:row>
      <xdr:rowOff>0</xdr:rowOff>
    </xdr:from>
    <xdr:to>
      <xdr:col>15</xdr:col>
      <xdr:colOff>400050</xdr:colOff>
      <xdr:row>17</xdr:row>
      <xdr:rowOff>19050</xdr:rowOff>
    </xdr:to>
    <xdr:sp macro="" textlink="">
      <xdr:nvSpPr>
        <xdr:cNvPr id="5184" name="Line 21"/>
        <xdr:cNvSpPr>
          <a:spLocks noChangeShapeType="1"/>
        </xdr:cNvSpPr>
      </xdr:nvSpPr>
      <xdr:spPr bwMode="auto">
        <a:xfrm flipV="1">
          <a:off x="14868525" y="3514725"/>
          <a:ext cx="11906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1428750</xdr:colOff>
      <xdr:row>13</xdr:row>
      <xdr:rowOff>104775</xdr:rowOff>
    </xdr:from>
    <xdr:to>
      <xdr:col>8</xdr:col>
      <xdr:colOff>1428750</xdr:colOff>
      <xdr:row>17</xdr:row>
      <xdr:rowOff>133350</xdr:rowOff>
    </xdr:to>
    <xdr:sp macro="" textlink="">
      <xdr:nvSpPr>
        <xdr:cNvPr id="5185" name="Line 27"/>
        <xdr:cNvSpPr>
          <a:spLocks noChangeShapeType="1"/>
        </xdr:cNvSpPr>
      </xdr:nvSpPr>
      <xdr:spPr bwMode="auto">
        <a:xfrm flipV="1">
          <a:off x="11506200" y="2743200"/>
          <a:ext cx="0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1428750</xdr:colOff>
      <xdr:row>17</xdr:row>
      <xdr:rowOff>0</xdr:rowOff>
    </xdr:from>
    <xdr:to>
      <xdr:col>11</xdr:col>
      <xdr:colOff>85725</xdr:colOff>
      <xdr:row>17</xdr:row>
      <xdr:rowOff>0</xdr:rowOff>
    </xdr:to>
    <xdr:sp macro="" textlink="">
      <xdr:nvSpPr>
        <xdr:cNvPr id="5186" name="Line 28"/>
        <xdr:cNvSpPr>
          <a:spLocks noChangeShapeType="1"/>
        </xdr:cNvSpPr>
      </xdr:nvSpPr>
      <xdr:spPr bwMode="auto">
        <a:xfrm flipH="1">
          <a:off x="11506200" y="351472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1114425</xdr:colOff>
      <xdr:row>5</xdr:row>
      <xdr:rowOff>141605</xdr:rowOff>
    </xdr:from>
    <xdr:to>
      <xdr:col>15</xdr:col>
      <xdr:colOff>334194</xdr:colOff>
      <xdr:row>15</xdr:row>
      <xdr:rowOff>98425</xdr:rowOff>
    </xdr:to>
    <xdr:grpSp>
      <xdr:nvGrpSpPr>
        <xdr:cNvPr id="29" name="Group 28"/>
        <xdr:cNvGrpSpPr/>
      </xdr:nvGrpSpPr>
      <xdr:grpSpPr>
        <a:xfrm>
          <a:off x="12023725" y="1322705"/>
          <a:ext cx="6382569" cy="2230120"/>
          <a:chOff x="11668125" y="1040130"/>
          <a:chExt cx="6611169" cy="2423795"/>
        </a:xfrm>
      </xdr:grpSpPr>
      <xdr:grpSp>
        <xdr:nvGrpSpPr>
          <xdr:cNvPr id="28" name="Group 27"/>
          <xdr:cNvGrpSpPr/>
        </xdr:nvGrpSpPr>
        <xdr:grpSpPr>
          <a:xfrm>
            <a:off x="11668125" y="1040130"/>
            <a:ext cx="6611169" cy="2423795"/>
            <a:chOff x="7896225" y="659130"/>
            <a:chExt cx="6611169" cy="2423795"/>
          </a:xfrm>
        </xdr:grpSpPr>
        <xdr:grpSp>
          <xdr:nvGrpSpPr>
            <xdr:cNvPr id="26" name="Group 25"/>
            <xdr:cNvGrpSpPr/>
          </xdr:nvGrpSpPr>
          <xdr:grpSpPr>
            <a:xfrm>
              <a:off x="7896225" y="659130"/>
              <a:ext cx="6611169" cy="2423795"/>
              <a:chOff x="7896225" y="659130"/>
              <a:chExt cx="6611169" cy="2423795"/>
            </a:xfrm>
          </xdr:grpSpPr>
          <xdr:sp macro="" textlink="">
            <xdr:nvSpPr>
              <xdr:cNvPr id="4247" name="AutoShape 1"/>
              <xdr:cNvSpPr>
                <a:spLocks noChangeArrowheads="1"/>
              </xdr:cNvSpPr>
            </xdr:nvSpPr>
            <xdr:spPr bwMode="auto">
              <a:xfrm rot="10800000">
                <a:off x="9321592" y="1491025"/>
                <a:ext cx="4980716" cy="1070063"/>
              </a:xfrm>
              <a:custGeom>
                <a:avLst/>
                <a:gdLst>
                  <a:gd name="T0" fmla="*/ 2147483646 w 21600"/>
                  <a:gd name="T1" fmla="*/ 2147483646 h 21600"/>
                  <a:gd name="T2" fmla="*/ 2147483646 w 21600"/>
                  <a:gd name="T3" fmla="*/ 2147483646 h 21600"/>
                  <a:gd name="T4" fmla="*/ 2147483646 w 21600"/>
                  <a:gd name="T5" fmla="*/ 2147483646 h 21600"/>
                  <a:gd name="T6" fmla="*/ 2147483646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6224 w 21600"/>
                  <a:gd name="T13" fmla="*/ 6224 h 21600"/>
                  <a:gd name="T14" fmla="*/ 15376 w 21600"/>
                  <a:gd name="T15" fmla="*/ 15376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8847" y="21600"/>
                    </a:lnTo>
                    <a:lnTo>
                      <a:pt x="12753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1FB714"/>
              </a:solidFill>
              <a:ln w="2857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4248" name="Line 18"/>
              <xdr:cNvSpPr>
                <a:spLocks noChangeShapeType="1"/>
              </xdr:cNvSpPr>
            </xdr:nvSpPr>
            <xdr:spPr bwMode="auto">
              <a:xfrm>
                <a:off x="12374029" y="2949982"/>
                <a:ext cx="187180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  <xdr:sp macro="" textlink="">
            <xdr:nvSpPr>
              <xdr:cNvPr id="4249" name="Line 20"/>
              <xdr:cNvSpPr>
                <a:spLocks noChangeShapeType="1"/>
              </xdr:cNvSpPr>
            </xdr:nvSpPr>
            <xdr:spPr bwMode="auto">
              <a:xfrm flipH="1">
                <a:off x="9361932" y="2957228"/>
                <a:ext cx="121828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  <xdr:sp macro="" textlink="">
            <xdr:nvSpPr>
              <xdr:cNvPr id="4117" name="Text Box 21">
                <a:extLst>
                  <a:ext uri="{FF2B5EF4-FFF2-40B4-BE49-F238E27FC236}">
                    <a16:creationId xmlns:a16="http://schemas.microsoft.com/office/drawing/2014/main" xmlns="" id="{8A245C5F-0D0B-45A9-8AB6-B094FCB7CDB4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554400" y="2781300"/>
                <a:ext cx="2054556" cy="3016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91440" tIns="45720" rIns="91440" bIns="45720" anchor="t" upright="1"/>
              <a:lstStyle/>
              <a:p>
                <a:pPr algn="ctr" rtl="0">
                  <a:defRPr sz="1000"/>
                </a:pPr>
                <a:r>
                  <a:rPr lang="en-US" sz="1400" b="1" i="0" u="none" strike="noStrike" baseline="0">
                    <a:solidFill>
                      <a:srgbClr val="DD0806"/>
                    </a:solidFill>
                    <a:latin typeface="Trebuchet MS"/>
                  </a:rPr>
                  <a:t>Ancho de la base (m) </a:t>
                </a:r>
              </a:p>
            </xdr:txBody>
          </xdr:sp>
          <xdr:sp macro="" textlink="">
            <xdr:nvSpPr>
              <xdr:cNvPr id="4251" name="Line 31"/>
              <xdr:cNvSpPr>
                <a:spLocks noChangeShapeType="1"/>
              </xdr:cNvSpPr>
            </xdr:nvSpPr>
            <xdr:spPr bwMode="auto">
              <a:xfrm flipV="1">
                <a:off x="11330552" y="1150441"/>
                <a:ext cx="0" cy="29469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52" name="Freeform 32"/>
              <xdr:cNvSpPr>
                <a:spLocks/>
              </xdr:cNvSpPr>
            </xdr:nvSpPr>
            <xdr:spPr bwMode="auto">
              <a:xfrm>
                <a:off x="12204598" y="1164934"/>
                <a:ext cx="8068" cy="294690"/>
              </a:xfrm>
              <a:custGeom>
                <a:avLst/>
                <a:gdLst>
                  <a:gd name="T0" fmla="*/ 0 w 1"/>
                  <a:gd name="T1" fmla="*/ 2147483646 h 47"/>
                  <a:gd name="T2" fmla="*/ 0 w 1"/>
                  <a:gd name="T3" fmla="*/ 0 h 47"/>
                  <a:gd name="T4" fmla="*/ 0 60000 65536"/>
                  <a:gd name="T5" fmla="*/ 0 60000 65536"/>
                  <a:gd name="T6" fmla="*/ 0 w 1"/>
                  <a:gd name="T7" fmla="*/ 0 h 47"/>
                  <a:gd name="T8" fmla="*/ 1 w 1"/>
                  <a:gd name="T9" fmla="*/ 47 h 47"/>
                </a:gdLst>
                <a:ahLst/>
                <a:cxnLst>
                  <a:cxn ang="T4">
                    <a:pos x="T0" y="T1"/>
                  </a:cxn>
                  <a:cxn ang="T5">
                    <a:pos x="T2" y="T3"/>
                  </a:cxn>
                </a:cxnLst>
                <a:rect l="T6" t="T7" r="T8" b="T9"/>
                <a:pathLst>
                  <a:path w="1" h="47">
                    <a:moveTo>
                      <a:pt x="0" y="47"/>
                    </a:moveTo>
                    <a:lnTo>
                      <a:pt x="0" y="0"/>
                    </a:lnTo>
                  </a:path>
                </a:pathLst>
              </a:cu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53" name="Freeform 34"/>
              <xdr:cNvSpPr>
                <a:spLocks/>
              </xdr:cNvSpPr>
            </xdr:nvSpPr>
            <xdr:spPr bwMode="auto">
              <a:xfrm>
                <a:off x="11354757" y="1372666"/>
                <a:ext cx="874046" cy="28986"/>
              </a:xfrm>
              <a:custGeom>
                <a:avLst/>
                <a:gdLst>
                  <a:gd name="T0" fmla="*/ 2147483646 w 129"/>
                  <a:gd name="T1" fmla="*/ 0 h 1"/>
                  <a:gd name="T2" fmla="*/ 0 w 129"/>
                  <a:gd name="T3" fmla="*/ 0 h 1"/>
                  <a:gd name="T4" fmla="*/ 0 60000 65536"/>
                  <a:gd name="T5" fmla="*/ 0 60000 65536"/>
                  <a:gd name="T6" fmla="*/ 0 w 129"/>
                  <a:gd name="T7" fmla="*/ 0 h 1"/>
                  <a:gd name="T8" fmla="*/ 129 w 129"/>
                  <a:gd name="T9" fmla="*/ 1 h 1"/>
                </a:gdLst>
                <a:ahLst/>
                <a:cxnLst>
                  <a:cxn ang="T4">
                    <a:pos x="T0" y="T1"/>
                  </a:cxn>
                  <a:cxn ang="T5">
                    <a:pos x="T2" y="T3"/>
                  </a:cxn>
                </a:cxnLst>
                <a:rect l="T6" t="T7" r="T8" b="T9"/>
                <a:pathLst>
                  <a:path w="129" h="1">
                    <a:moveTo>
                      <a:pt x="129" y="0"/>
                    </a:moveTo>
                    <a:lnTo>
                      <a:pt x="0" y="0"/>
                    </a:lnTo>
                  </a:path>
                </a:pathLst>
              </a:custGeom>
              <a:noFill/>
              <a:ln w="9525">
                <a:solidFill>
                  <a:srgbClr val="000000"/>
                </a:solidFill>
                <a:round/>
                <a:headEnd type="triangle" w="med" len="med"/>
                <a:tailEnd type="triangle" w="med" len="med"/>
              </a:ln>
            </xdr:spPr>
          </xdr:sp>
          <xdr:sp macro="" textlink="">
            <xdr:nvSpPr>
              <xdr:cNvPr id="4257" name="Line 40"/>
              <xdr:cNvSpPr>
                <a:spLocks noChangeShapeType="1"/>
              </xdr:cNvSpPr>
            </xdr:nvSpPr>
            <xdr:spPr bwMode="auto">
              <a:xfrm flipH="1">
                <a:off x="8864399" y="1469286"/>
                <a:ext cx="2216042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58" name="Line 41"/>
              <xdr:cNvSpPr>
                <a:spLocks noChangeShapeType="1"/>
              </xdr:cNvSpPr>
            </xdr:nvSpPr>
            <xdr:spPr bwMode="auto">
              <a:xfrm flipH="1">
                <a:off x="7896225" y="2561088"/>
                <a:ext cx="135275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138" name="Text Box 42">
                <a:extLst>
                  <a:ext uri="{FF2B5EF4-FFF2-40B4-BE49-F238E27FC236}">
                    <a16:creationId xmlns:a16="http://schemas.microsoft.com/office/drawing/2014/main" xmlns="" id="{AF425112-11EE-4670-9E20-328CC8BFE8B2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215231" y="1805039"/>
                <a:ext cx="1142526" cy="27776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91440" tIns="45720" rIns="91440" bIns="45720" anchor="t" upright="1"/>
              <a:lstStyle/>
              <a:p>
                <a:pPr algn="ctr" rtl="0">
                  <a:defRPr sz="1000"/>
                </a:pPr>
                <a:r>
                  <a:rPr lang="en-US" sz="1400" b="1" i="0" u="none" strike="noStrike" baseline="0">
                    <a:solidFill>
                      <a:srgbClr val="DD0806"/>
                    </a:solidFill>
                    <a:latin typeface="Trebuchet MS"/>
                  </a:rPr>
                  <a:t>Altura (m)</a:t>
                </a:r>
              </a:p>
            </xdr:txBody>
          </xdr:sp>
          <xdr:sp macro="" textlink="">
            <xdr:nvSpPr>
              <xdr:cNvPr id="4260" name="Line 43"/>
              <xdr:cNvSpPr>
                <a:spLocks noChangeShapeType="1"/>
              </xdr:cNvSpPr>
            </xdr:nvSpPr>
            <xdr:spPr bwMode="auto">
              <a:xfrm>
                <a:off x="8998867" y="2077989"/>
                <a:ext cx="0" cy="413049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  <xdr:sp macro="" textlink="">
            <xdr:nvSpPr>
              <xdr:cNvPr id="4261" name="Line 44"/>
              <xdr:cNvSpPr>
                <a:spLocks noChangeShapeType="1"/>
              </xdr:cNvSpPr>
            </xdr:nvSpPr>
            <xdr:spPr bwMode="auto">
              <a:xfrm flipV="1">
                <a:off x="8998867" y="1498272"/>
                <a:ext cx="0" cy="289859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  <xdr:sp macro="" textlink="">
            <xdr:nvSpPr>
              <xdr:cNvPr id="4141" name="Text Box 45">
                <a:extLst>
                  <a:ext uri="{FF2B5EF4-FFF2-40B4-BE49-F238E27FC236}">
                    <a16:creationId xmlns:a16="http://schemas.microsoft.com/office/drawing/2014/main" xmlns="" id="{A08132EB-AE99-4D13-85D4-7A9A83CA59A2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3145340" y="1432087"/>
                <a:ext cx="1362054" cy="22883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none" lIns="91440" tIns="45720" rIns="91440" bIns="45720" anchor="t" upright="1">
                <a:noAutofit/>
              </a:bodyPr>
              <a:lstStyle/>
              <a:p>
                <a:pPr algn="l" rtl="0">
                  <a:defRPr sz="1000"/>
                </a:pPr>
                <a:r>
                  <a:rPr lang="en-US" sz="1400" b="1" i="0" u="none" strike="noStrike" baseline="0">
                    <a:solidFill>
                      <a:srgbClr val="DD0806"/>
                    </a:solidFill>
                    <a:latin typeface="Trebuchet MS"/>
                  </a:rPr>
                  <a:t>Pendiente</a:t>
                </a: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Trebuchet MS"/>
                  </a:rPr>
                  <a:t> (&gt;3:1)</a:t>
                </a:r>
              </a:p>
            </xdr:txBody>
          </xdr:sp>
          <xdr:sp macro="" textlink="">
            <xdr:nvSpPr>
              <xdr:cNvPr id="4263" name="Line 46"/>
              <xdr:cNvSpPr>
                <a:spLocks noChangeShapeType="1"/>
              </xdr:cNvSpPr>
            </xdr:nvSpPr>
            <xdr:spPr bwMode="auto">
              <a:xfrm flipV="1">
                <a:off x="14278104" y="2677031"/>
                <a:ext cx="0" cy="367155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64" name="Line 47"/>
              <xdr:cNvSpPr>
                <a:spLocks noChangeShapeType="1"/>
              </xdr:cNvSpPr>
            </xdr:nvSpPr>
            <xdr:spPr bwMode="auto">
              <a:xfrm flipV="1">
                <a:off x="9345796" y="2655292"/>
                <a:ext cx="0" cy="40580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179" name="Text Box 83">
                <a:extLst>
                  <a:ext uri="{FF2B5EF4-FFF2-40B4-BE49-F238E27FC236}">
                    <a16:creationId xmlns:a16="http://schemas.microsoft.com/office/drawing/2014/main" xmlns="" id="{4378EB69-1ED1-4592-8B2E-8840C50E12A1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1084599" y="659130"/>
                <a:ext cx="1465357" cy="31415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none" lIns="91440" tIns="45720" rIns="91440" bIns="45720" anchor="t" upright="1">
                <a:noAutofit/>
              </a:bodyPr>
              <a:lstStyle/>
              <a:p>
                <a:pPr algn="ctr" rtl="0">
                  <a:lnSpc>
                    <a:spcPts val="1300"/>
                  </a:lnSpc>
                  <a:defRPr sz="1000"/>
                </a:pPr>
                <a:r>
                  <a:rPr lang="en-US" sz="1400" b="1" i="0" u="none" strike="noStrike" baseline="0">
                    <a:solidFill>
                      <a:srgbClr val="DD0806"/>
                    </a:solidFill>
                    <a:latin typeface="Trebuchet MS"/>
                  </a:rPr>
                  <a:t>Ancho de la </a:t>
                </a:r>
              </a:p>
              <a:p>
                <a:pPr algn="ctr" rtl="0">
                  <a:lnSpc>
                    <a:spcPts val="1200"/>
                  </a:lnSpc>
                  <a:defRPr sz="1000"/>
                </a:pPr>
                <a:r>
                  <a:rPr lang="en-US" sz="1400" b="1" i="0" u="none" strike="noStrike" baseline="0">
                    <a:solidFill>
                      <a:srgbClr val="DD0806"/>
                    </a:solidFill>
                    <a:latin typeface="Trebuchet MS"/>
                  </a:rPr>
                  <a:t>parte superior (m)</a:t>
                </a:r>
              </a:p>
            </xdr:txBody>
          </xdr:sp>
        </xdr:grpSp>
        <xdr:grpSp>
          <xdr:nvGrpSpPr>
            <xdr:cNvPr id="27" name="Group 26"/>
            <xdr:cNvGrpSpPr/>
          </xdr:nvGrpSpPr>
          <xdr:grpSpPr>
            <a:xfrm>
              <a:off x="13201650" y="2164080"/>
              <a:ext cx="292100" cy="371600"/>
              <a:chOff x="13201650" y="2164080"/>
              <a:chExt cx="292100" cy="371600"/>
            </a:xfrm>
          </xdr:grpSpPr>
          <xdr:sp macro="" textlink="">
            <xdr:nvSpPr>
              <xdr:cNvPr id="24" name="Text Box 39">
                <a:extLst>
                  <a:ext uri="{FF2B5EF4-FFF2-40B4-BE49-F238E27FC236}">
                    <a16:creationId xmlns:a16="http://schemas.microsoft.com/office/drawing/2014/main" xmlns="" id="{E2CCA3BF-F114-4DB5-902B-C7336FC315F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3201650" y="2164080"/>
                <a:ext cx="261132" cy="3571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91440" tIns="45720" rIns="91440" bIns="45720" anchor="t" upright="1"/>
              <a:lstStyle/>
              <a:p>
                <a:pPr algn="l" rtl="0">
                  <a:defRPr sz="1000"/>
                </a:pPr>
                <a:r>
                  <a:rPr lang="en-US" sz="1600" b="1" i="0" u="none" strike="noStrike" baseline="0">
                    <a:solidFill>
                      <a:srgbClr val="FFFFFF"/>
                    </a:solidFill>
                    <a:latin typeface="Trebuchet MS"/>
                  </a:rPr>
                  <a:t>1</a:t>
                </a:r>
                <a:endParaRPr lang="en-US" sz="1400" b="0" i="0" u="none" strike="noStrike" baseline="0">
                  <a:solidFill>
                    <a:srgbClr val="FFFFFF"/>
                  </a:solidFill>
                  <a:latin typeface="Trebuchet MS"/>
                </a:endParaRPr>
              </a:p>
              <a:p>
                <a:pPr algn="l" rtl="0">
                  <a:defRPr sz="1000"/>
                </a:pPr>
                <a:endParaRPr lang="en-US" sz="1400" b="0" i="0" u="none" strike="noStrike" baseline="0">
                  <a:solidFill>
                    <a:srgbClr val="FFFFFF"/>
                  </a:solidFill>
                  <a:latin typeface="Trebuchet MS"/>
                </a:endParaRPr>
              </a:p>
            </xdr:txBody>
          </xdr:sp>
          <xdr:sp macro="" textlink="">
            <xdr:nvSpPr>
              <xdr:cNvPr id="25" name="Line 46"/>
              <xdr:cNvSpPr>
                <a:spLocks noChangeShapeType="1"/>
              </xdr:cNvSpPr>
            </xdr:nvSpPr>
            <xdr:spPr bwMode="auto">
              <a:xfrm flipV="1">
                <a:off x="13493750" y="2168525"/>
                <a:ext cx="0" cy="367155"/>
              </a:xfrm>
              <a:prstGeom prst="line">
                <a:avLst/>
              </a:prstGeom>
              <a:noFill/>
              <a:ln w="317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4186" name="Text Box 90">
            <a:extLst>
              <a:ext uri="{FF2B5EF4-FFF2-40B4-BE49-F238E27FC236}">
                <a16:creationId xmlns:a16="http://schemas.microsoft.com/office/drawing/2014/main" xmlns="" id="{A4478390-463B-4759-BCD0-97E388C81B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011103" y="2096935"/>
            <a:ext cx="1400472" cy="7065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0">
              <a:defRPr sz="1000"/>
            </a:pPr>
            <a:r>
              <a:rPr lang="en-US" sz="1800" b="1" i="0" u="none" strike="noStrike" baseline="0">
                <a:solidFill>
                  <a:srgbClr val="FCF305"/>
                </a:solidFill>
                <a:latin typeface="Arial"/>
                <a:cs typeface="Arial"/>
              </a:rPr>
              <a:t>Silo de Monticulo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75" workbookViewId="0">
      <selection activeCell="F1" sqref="F1"/>
    </sheetView>
  </sheetViews>
  <sheetFormatPr defaultRowHeight="12.75"/>
  <cols>
    <col min="1" max="3" width="9.140625" style="1"/>
    <col min="4" max="4" width="10.7109375" style="1" customWidth="1"/>
    <col min="5" max="5" width="38.85546875" style="1" customWidth="1"/>
    <col min="6" max="6" width="11" style="1" bestFit="1" customWidth="1"/>
    <col min="7" max="7" width="4.7109375" style="1" customWidth="1"/>
    <col min="8" max="8" width="49.28515625" style="1" customWidth="1"/>
    <col min="9" max="9" width="14.5703125" style="1" customWidth="1"/>
    <col min="10" max="10" width="9.28515625" style="1" bestFit="1" customWidth="1"/>
    <col min="11" max="11" width="12.42578125" style="1" customWidth="1"/>
    <col min="12" max="12" width="12" style="1" customWidth="1"/>
    <col min="13" max="14" width="9.85546875" style="1" bestFit="1" customWidth="1"/>
    <col min="15" max="16384" width="9.140625" style="1"/>
  </cols>
  <sheetData>
    <row r="1" spans="1:16" ht="15.75">
      <c r="A1" s="5" t="s">
        <v>52</v>
      </c>
      <c r="F1" s="81" t="s">
        <v>53</v>
      </c>
      <c r="H1" s="4" t="s">
        <v>37</v>
      </c>
    </row>
    <row r="2" spans="1:16" ht="15.75">
      <c r="A2" s="34"/>
      <c r="F2" s="35"/>
      <c r="H2" s="4" t="s">
        <v>137</v>
      </c>
    </row>
    <row r="3" spans="1:16" ht="15.75">
      <c r="A3" s="112" t="str">
        <f>+IF(F1="No","Bottom Width (ft)="," ")</f>
        <v>Bottom Width (ft)=</v>
      </c>
      <c r="F3" s="108">
        <v>160</v>
      </c>
      <c r="H3" s="2" t="s">
        <v>30</v>
      </c>
    </row>
    <row r="4" spans="1:16" ht="18">
      <c r="A4" s="112" t="str">
        <f>+IF(F1="Yes","Horizontal Portion of Side Slope (ie 3 for 3:1)  ="," ")</f>
        <v xml:space="preserve"> </v>
      </c>
      <c r="F4" s="108">
        <v>3.8</v>
      </c>
      <c r="H4" s="2" t="s">
        <v>43</v>
      </c>
      <c r="L4" s="135">
        <f>+F9</f>
        <v>100</v>
      </c>
    </row>
    <row r="5" spans="1:16" ht="15.75">
      <c r="A5" s="148" t="str">
        <f>+IF(F1="Yes","Bottom Width (ft)="," ")</f>
        <v xml:space="preserve"> </v>
      </c>
      <c r="B5" s="13"/>
      <c r="C5" s="13"/>
      <c r="D5" s="13"/>
      <c r="E5" s="13"/>
      <c r="F5" s="149" t="str">
        <f>+IF($F$1="Yes",($F$9+2*$F$7*$F$8)," ")</f>
        <v xml:space="preserve"> </v>
      </c>
      <c r="H5" s="2" t="s">
        <v>42</v>
      </c>
    </row>
    <row r="6" spans="1:16">
      <c r="H6" s="2" t="s">
        <v>19</v>
      </c>
    </row>
    <row r="7" spans="1:16" ht="20.25">
      <c r="A7" s="5" t="s">
        <v>57</v>
      </c>
      <c r="B7" s="5"/>
      <c r="C7" s="5"/>
      <c r="D7" s="5"/>
      <c r="E7" s="5"/>
      <c r="F7" s="81">
        <v>10</v>
      </c>
      <c r="G7" s="47"/>
      <c r="H7" s="95" t="s">
        <v>129</v>
      </c>
      <c r="O7" s="49">
        <f>+F8</f>
        <v>3</v>
      </c>
    </row>
    <row r="8" spans="1:16" ht="15.75">
      <c r="A8" s="7" t="s">
        <v>56</v>
      </c>
      <c r="B8" s="7"/>
      <c r="C8" s="7"/>
      <c r="D8" s="7"/>
      <c r="E8" s="38"/>
      <c r="F8" s="82">
        <f>+IF(F1="No",K20,F4)</f>
        <v>3</v>
      </c>
      <c r="G8" s="47"/>
    </row>
    <row r="9" spans="1:16" ht="15.75">
      <c r="A9" s="5" t="s">
        <v>16</v>
      </c>
      <c r="B9" s="5"/>
      <c r="C9" s="5"/>
      <c r="D9" s="5"/>
      <c r="E9" s="5"/>
      <c r="F9" s="81">
        <v>100</v>
      </c>
      <c r="G9" s="47"/>
      <c r="H9" s="1" t="s">
        <v>27</v>
      </c>
      <c r="P9" s="13"/>
    </row>
    <row r="10" spans="1:16" ht="15.75">
      <c r="A10" s="5"/>
      <c r="B10" s="5"/>
      <c r="C10" s="5"/>
      <c r="D10" s="5"/>
      <c r="E10" s="5"/>
      <c r="F10" s="5"/>
    </row>
    <row r="11" spans="1:16" ht="18">
      <c r="A11" s="5" t="s">
        <v>93</v>
      </c>
      <c r="B11" s="5"/>
      <c r="C11" s="5"/>
      <c r="D11" s="5"/>
      <c r="E11" s="5"/>
      <c r="F11" s="81">
        <v>120</v>
      </c>
      <c r="H11" s="1" t="s">
        <v>40</v>
      </c>
      <c r="I11" s="134">
        <f>+F7</f>
        <v>10</v>
      </c>
    </row>
    <row r="12" spans="1:16" ht="15.75">
      <c r="A12" s="5"/>
      <c r="B12" s="5"/>
      <c r="C12" s="5"/>
      <c r="D12" s="5"/>
      <c r="E12" s="5"/>
      <c r="F12" s="5"/>
    </row>
    <row r="13" spans="1:16" ht="15.75">
      <c r="A13" s="5" t="s">
        <v>38</v>
      </c>
      <c r="B13" s="5"/>
      <c r="C13" s="5"/>
      <c r="D13" s="5"/>
      <c r="E13" s="5"/>
      <c r="F13" s="81">
        <v>0.34</v>
      </c>
      <c r="H13" s="9" t="s">
        <v>39</v>
      </c>
    </row>
    <row r="14" spans="1:16" ht="15.75">
      <c r="B14" s="5"/>
      <c r="C14" s="5"/>
      <c r="D14" s="5"/>
      <c r="E14" s="5"/>
      <c r="F14" s="10" t="str">
        <f>+IF(F13&gt;1,"F13 must be less than 1"," ")</f>
        <v xml:space="preserve"> </v>
      </c>
    </row>
    <row r="15" spans="1:16" ht="15.75">
      <c r="A15" s="5" t="s">
        <v>20</v>
      </c>
      <c r="B15" s="5"/>
      <c r="C15" s="5"/>
      <c r="D15" s="5"/>
      <c r="E15" s="5"/>
      <c r="F15" s="81">
        <v>6</v>
      </c>
      <c r="H15" s="1" t="s">
        <v>50</v>
      </c>
    </row>
    <row r="16" spans="1:16" ht="15.75">
      <c r="A16" s="5"/>
      <c r="B16" s="5"/>
      <c r="C16" s="5"/>
      <c r="D16" s="5"/>
      <c r="E16" s="5"/>
      <c r="F16" s="10" t="str">
        <f>+IF(F15&gt;24,"Consider a thinner layer in cell F15", " ")</f>
        <v xml:space="preserve"> </v>
      </c>
    </row>
    <row r="17" spans="1:18" ht="15.75">
      <c r="A17" s="5" t="s">
        <v>29</v>
      </c>
      <c r="B17" s="5"/>
      <c r="C17" s="5"/>
      <c r="D17" s="5"/>
      <c r="E17" s="5" t="s">
        <v>126</v>
      </c>
      <c r="F17" s="5"/>
      <c r="H17" s="5" t="s">
        <v>31</v>
      </c>
    </row>
    <row r="18" spans="1:18" ht="15.75">
      <c r="A18" s="6" t="s">
        <v>95</v>
      </c>
      <c r="B18" s="5"/>
      <c r="C18" s="5"/>
      <c r="D18" s="5"/>
      <c r="E18" s="5"/>
      <c r="F18" s="5"/>
      <c r="H18" s="5"/>
    </row>
    <row r="19" spans="1:18" ht="18">
      <c r="A19" s="5" t="s">
        <v>21</v>
      </c>
      <c r="B19" s="5"/>
      <c r="C19" s="11" t="s">
        <v>48</v>
      </c>
      <c r="D19" s="5"/>
      <c r="E19" s="5"/>
      <c r="F19" s="83">
        <v>40000</v>
      </c>
      <c r="G19" s="113">
        <f>IF(F19&gt;0,H19,0)</f>
        <v>100</v>
      </c>
      <c r="H19" s="86">
        <v>100</v>
      </c>
      <c r="I19" s="127" t="str">
        <f>IF(AND(F19&gt;0,H19&lt;1), "Error in Cell F19 or H19", IF(AND(F19&lt;1,H19&gt;0),"Error in Cell F19 or H19"," "))</f>
        <v xml:space="preserve"> </v>
      </c>
      <c r="L19" s="133">
        <f>+IF($F$1="No", $F$3,($F$9+2*$F$7*$F$8))</f>
        <v>160</v>
      </c>
    </row>
    <row r="20" spans="1:18" ht="15.75">
      <c r="A20" s="5" t="s">
        <v>22</v>
      </c>
      <c r="B20" s="5"/>
      <c r="C20" s="11" t="s">
        <v>48</v>
      </c>
      <c r="D20" s="5"/>
      <c r="E20" s="5"/>
      <c r="F20" s="83">
        <v>40000</v>
      </c>
      <c r="G20" s="113">
        <f>IF(F20&gt;0,H20,0)</f>
        <v>100</v>
      </c>
      <c r="H20" s="86">
        <v>100</v>
      </c>
      <c r="I20" s="127" t="str">
        <f>IF(AND(F20&gt;0,H20&lt;1), "Error in Cell F20 or H20", IF(AND(F20&lt;1,H20&gt;0),"Error in Cell F20 or H20"," "))</f>
        <v xml:space="preserve"> </v>
      </c>
      <c r="K20" s="115">
        <f>+(F3-F9)/2/F7</f>
        <v>3</v>
      </c>
    </row>
    <row r="21" spans="1:18" ht="15.75">
      <c r="A21" s="5" t="s">
        <v>23</v>
      </c>
      <c r="B21" s="5"/>
      <c r="C21" s="11" t="s">
        <v>48</v>
      </c>
      <c r="D21" s="5"/>
      <c r="E21" s="5"/>
      <c r="F21" s="83">
        <v>0</v>
      </c>
      <c r="G21" s="113">
        <f>IF(F21&gt;0,H21,0)</f>
        <v>0</v>
      </c>
      <c r="H21" s="86">
        <v>0</v>
      </c>
      <c r="I21" s="127" t="str">
        <f>IF(AND(F21&gt;0,H21&lt;1), "Error in Cell F21 or H21", IF(AND(F21&lt;1,H21&gt;0),"Error in Cell F21 or H21"," "))</f>
        <v xml:space="preserve"> </v>
      </c>
      <c r="K21" s="34"/>
    </row>
    <row r="22" spans="1:18" ht="15.75">
      <c r="A22" s="5" t="s">
        <v>24</v>
      </c>
      <c r="B22" s="5"/>
      <c r="C22" s="11" t="s">
        <v>48</v>
      </c>
      <c r="D22" s="5"/>
      <c r="E22" s="5"/>
      <c r="F22" s="83">
        <v>0</v>
      </c>
      <c r="G22" s="113">
        <f>IF(F22&gt;0,H22,0)</f>
        <v>0</v>
      </c>
      <c r="H22" s="86">
        <v>0</v>
      </c>
      <c r="I22" s="127" t="str">
        <f>IF(AND(F22&gt;0,H22&lt;1), "Error in Cell F22 or H22", IF(AND(F22&lt;1,H22&gt;0),"Error in Cell F22 or H22"," "))</f>
        <v xml:space="preserve"> </v>
      </c>
    </row>
    <row r="23" spans="1:18" ht="15.75">
      <c r="A23" s="5" t="s">
        <v>45</v>
      </c>
      <c r="C23" s="5"/>
      <c r="D23" s="5"/>
      <c r="E23" s="5"/>
      <c r="F23" s="84">
        <f>+F19*H19/100 +F20*H20/100+F21*H21/100+F22*H22/100</f>
        <v>80000</v>
      </c>
      <c r="I23" s="13"/>
      <c r="M23" s="12"/>
      <c r="N23" s="12"/>
    </row>
    <row r="24" spans="1:18" ht="15.75">
      <c r="A24" s="5" t="s">
        <v>26</v>
      </c>
      <c r="B24" s="5"/>
      <c r="C24" s="5"/>
      <c r="D24" s="5"/>
      <c r="E24" s="5"/>
      <c r="F24" s="85">
        <f>+F7*(F9+F7*F8)/(F9+2*F7*F8)</f>
        <v>8.125</v>
      </c>
      <c r="H24" s="52" t="s">
        <v>32</v>
      </c>
      <c r="M24" s="13"/>
      <c r="N24" s="12"/>
    </row>
    <row r="25" spans="1:18" ht="15.75">
      <c r="A25" s="5"/>
      <c r="B25" s="5"/>
      <c r="C25" s="5"/>
      <c r="D25" s="5"/>
      <c r="E25" s="5"/>
      <c r="F25" s="51"/>
      <c r="I25" s="12"/>
      <c r="M25" s="13"/>
      <c r="N25" s="12"/>
    </row>
    <row r="26" spans="1:18">
      <c r="G26" s="33"/>
      <c r="I26" s="15"/>
    </row>
    <row r="27" spans="1:18" ht="15.75">
      <c r="A27" s="6" t="s">
        <v>67</v>
      </c>
      <c r="B27" s="5"/>
      <c r="C27" s="5"/>
      <c r="D27" s="5"/>
      <c r="E27" s="5"/>
      <c r="F27" s="5"/>
      <c r="J27" s="92"/>
      <c r="K27" s="92"/>
      <c r="L27" s="92"/>
      <c r="M27" s="92"/>
      <c r="N27" s="92"/>
    </row>
    <row r="28" spans="1:18" ht="15.75">
      <c r="A28" s="5"/>
      <c r="B28" s="5"/>
      <c r="C28" s="5"/>
      <c r="E28" s="7" t="s">
        <v>76</v>
      </c>
      <c r="F28" s="126">
        <f>+(($F$19*$G$19+$F$20*$G$20+$F$21*$G$21+$F$22*$G$22)/IF(SUM($G$19:$G$22),SUM($G$19:$G$22),1)/$F$15)*($F$13*SUM($G$19:$G$22)/$F$11/100)^0.5</f>
        <v>501.84843513938733</v>
      </c>
      <c r="H28" s="8" t="s">
        <v>28</v>
      </c>
      <c r="J28" s="92"/>
      <c r="K28" s="92"/>
      <c r="L28" s="92"/>
      <c r="M28" s="92"/>
      <c r="N28" s="92"/>
    </row>
    <row r="29" spans="1:18" ht="15.75">
      <c r="A29" s="7" t="s">
        <v>68</v>
      </c>
      <c r="B29" s="8"/>
      <c r="C29" s="8"/>
      <c r="D29" s="8"/>
      <c r="E29" s="8"/>
      <c r="F29" s="53">
        <f>F35/F13</f>
        <v>44.455080048286099</v>
      </c>
      <c r="H29" s="3" t="s">
        <v>69</v>
      </c>
      <c r="J29" s="92"/>
      <c r="K29" s="92"/>
      <c r="L29" s="92"/>
      <c r="M29" s="92"/>
      <c r="N29" s="92"/>
    </row>
    <row r="30" spans="1:18" ht="15.75">
      <c r="A30" s="7" t="s">
        <v>70</v>
      </c>
      <c r="B30" s="8"/>
      <c r="C30" s="8"/>
      <c r="D30" s="8"/>
      <c r="E30" s="8"/>
      <c r="F30" s="53">
        <f>F13*93.6 +(1-F13)*62.4</f>
        <v>73.007999999999996</v>
      </c>
      <c r="H30" s="3" t="s">
        <v>71</v>
      </c>
      <c r="I30" s="2"/>
      <c r="J30" s="93"/>
      <c r="K30" s="93"/>
      <c r="L30" s="93"/>
      <c r="M30" s="93"/>
      <c r="N30" s="93"/>
    </row>
    <row r="31" spans="1:18">
      <c r="J31" s="93"/>
      <c r="K31" s="93"/>
      <c r="L31" s="93"/>
      <c r="M31" s="93"/>
      <c r="N31" s="93"/>
      <c r="O31" s="48"/>
      <c r="P31" s="16"/>
      <c r="Q31" s="16"/>
      <c r="R31" s="16"/>
    </row>
    <row r="32" spans="1:18" ht="15.75">
      <c r="B32" s="13"/>
      <c r="C32" s="13"/>
      <c r="D32" s="13"/>
      <c r="E32" s="7" t="s">
        <v>72</v>
      </c>
      <c r="F32" s="54">
        <f>1-(F29/F30)</f>
        <v>0.39109303023934228</v>
      </c>
      <c r="H32" s="3" t="s">
        <v>73</v>
      </c>
      <c r="J32" s="93"/>
      <c r="K32" s="94"/>
      <c r="L32" s="94"/>
      <c r="M32" s="94"/>
      <c r="O32" s="48"/>
      <c r="P32" s="94"/>
      <c r="Q32" s="16"/>
      <c r="R32" s="16"/>
    </row>
    <row r="33" spans="1:18" ht="15.75">
      <c r="J33" s="93"/>
      <c r="K33" s="94"/>
      <c r="L33" s="94"/>
      <c r="M33" s="94"/>
      <c r="N33" s="94"/>
      <c r="O33" s="48"/>
      <c r="P33" s="16"/>
      <c r="Q33" s="16"/>
      <c r="R33" s="16"/>
    </row>
    <row r="34" spans="1:18" ht="15.75">
      <c r="J34" s="93"/>
      <c r="K34" s="94"/>
      <c r="L34" s="94"/>
      <c r="M34" s="94"/>
      <c r="N34" s="94"/>
      <c r="O34" s="48"/>
      <c r="P34" s="16"/>
      <c r="Q34" s="16"/>
      <c r="R34" s="16"/>
    </row>
    <row r="35" spans="1:18" ht="15.75">
      <c r="A35" s="7" t="s">
        <v>33</v>
      </c>
      <c r="B35" s="7"/>
      <c r="C35" s="7"/>
      <c r="D35" s="7"/>
      <c r="E35" s="7"/>
      <c r="F35" s="53">
        <f>+IF(F36&lt;J37,F36,J37)</f>
        <v>15.114727216417275</v>
      </c>
      <c r="H35" s="3" t="s">
        <v>75</v>
      </c>
      <c r="K35" s="94"/>
      <c r="L35" s="94"/>
      <c r="M35" s="94"/>
      <c r="N35" s="94"/>
      <c r="O35" s="48"/>
      <c r="P35" s="16"/>
      <c r="Q35" s="16"/>
      <c r="R35" s="16"/>
    </row>
    <row r="36" spans="1:18" ht="15.75">
      <c r="A36" s="7" t="s">
        <v>46</v>
      </c>
      <c r="B36" s="8"/>
      <c r="C36" s="8"/>
      <c r="D36" s="8"/>
      <c r="E36" s="8"/>
      <c r="F36" s="53">
        <f>+F13*(F13*93.6+(1-F13)*62.4)</f>
        <v>24.82272</v>
      </c>
      <c r="H36" s="3" t="s">
        <v>74</v>
      </c>
      <c r="J36" s="93"/>
      <c r="K36" s="93"/>
      <c r="L36" s="93"/>
      <c r="M36" s="93"/>
      <c r="N36" s="93"/>
      <c r="O36" s="48"/>
      <c r="P36" s="16"/>
      <c r="Q36" s="16"/>
      <c r="R36" s="16"/>
    </row>
    <row r="37" spans="1:18">
      <c r="A37" s="122" t="str">
        <f>+IF(F35=F36,"Estimated DM Density controlled by Maximum Achievable Density","")</f>
        <v/>
      </c>
      <c r="J37" s="104">
        <f>(+F28*0.0155 + 8.5)*(0.818+0.0136*F24)</f>
        <v>15.114727216417275</v>
      </c>
      <c r="K37" s="93"/>
      <c r="L37" s="93"/>
      <c r="M37" s="93"/>
      <c r="N37" s="93"/>
      <c r="O37" s="48"/>
      <c r="P37" s="16"/>
      <c r="Q37" s="16"/>
      <c r="R37" s="16"/>
    </row>
    <row r="38" spans="1:18">
      <c r="J38" s="92"/>
      <c r="K38" s="92"/>
      <c r="L38" s="92"/>
      <c r="M38" s="92"/>
      <c r="N38" s="92"/>
      <c r="O38" s="48"/>
    </row>
    <row r="39" spans="1:18">
      <c r="H39" s="37"/>
      <c r="J39" s="92"/>
      <c r="K39" s="92"/>
      <c r="L39" s="92"/>
      <c r="M39" s="92"/>
      <c r="N39" s="92"/>
      <c r="O39" s="48"/>
    </row>
    <row r="40" spans="1:18">
      <c r="J40" s="92"/>
      <c r="K40" s="92"/>
      <c r="L40" s="92"/>
      <c r="M40" s="92"/>
      <c r="N40" s="92"/>
    </row>
    <row r="41" spans="1:18">
      <c r="J41" s="92"/>
      <c r="K41" s="92"/>
      <c r="L41" s="92"/>
      <c r="M41" s="92"/>
      <c r="N41" s="92"/>
    </row>
  </sheetData>
  <sheetProtection sheet="1" objects="1" scenarios="1"/>
  <phoneticPr fontId="0" type="noConversion"/>
  <conditionalFormatting sqref="F4">
    <cfRule type="expression" dxfId="0" priority="10" stopIfTrue="1">
      <formula>OR(F1="n", F1="no")</formula>
    </cfRule>
  </conditionalFormatting>
  <conditionalFormatting sqref="F3">
    <cfRule type="expression" dxfId="7" priority="11" stopIfTrue="1">
      <formula>F1="Yes"</formula>
    </cfRule>
  </conditionalFormatting>
  <conditionalFormatting sqref="B5">
    <cfRule type="expression" dxfId="6" priority="6">
      <formula xml:space="preserve"> F1 = "Yes"</formula>
    </cfRule>
  </conditionalFormatting>
  <conditionalFormatting sqref="C5">
    <cfRule type="expression" dxfId="5" priority="5">
      <formula xml:space="preserve"> F1 = "Yes"</formula>
    </cfRule>
  </conditionalFormatting>
  <conditionalFormatting sqref="D5">
    <cfRule type="expression" dxfId="4" priority="4">
      <formula xml:space="preserve"> F1 = "Yes"</formula>
    </cfRule>
  </conditionalFormatting>
  <conditionalFormatting sqref="A5">
    <cfRule type="expression" dxfId="3" priority="3">
      <formula xml:space="preserve"> F1 = "Yes"</formula>
    </cfRule>
  </conditionalFormatting>
  <conditionalFormatting sqref="E5">
    <cfRule type="expression" dxfId="2" priority="2">
      <formula xml:space="preserve"> F1 = "Yes"</formula>
    </cfRule>
  </conditionalFormatting>
  <conditionalFormatting sqref="F5">
    <cfRule type="expression" dxfId="1" priority="1">
      <formula xml:space="preserve"> F1 = "Yes"</formula>
    </cfRule>
  </conditionalFormatting>
  <dataValidations count="1">
    <dataValidation type="list" allowBlank="1" showInputMessage="1" showErrorMessage="1" error="Click the Arrow to get a choice of Yes or No" prompt="Click on Arrow for choices" sqref="F1">
      <formula1>"No, Yes"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="75" workbookViewId="0">
      <selection activeCell="F4" sqref="F4"/>
    </sheetView>
  </sheetViews>
  <sheetFormatPr defaultRowHeight="12.75"/>
  <cols>
    <col min="1" max="4" width="8.85546875" customWidth="1"/>
    <col min="5" max="5" width="42.7109375" customWidth="1"/>
    <col min="6" max="6" width="11.42578125" bestFit="1" customWidth="1"/>
    <col min="7" max="7" width="3.7109375" customWidth="1"/>
    <col min="8" max="8" width="43.7109375" customWidth="1"/>
    <col min="9" max="9" width="17.42578125" customWidth="1"/>
    <col min="10" max="10" width="9.28515625" bestFit="1" customWidth="1"/>
    <col min="11" max="11" width="11" bestFit="1" customWidth="1"/>
    <col min="12" max="12" width="23.5703125" customWidth="1"/>
    <col min="13" max="13" width="2.42578125" customWidth="1"/>
    <col min="14" max="14" width="6.85546875" customWidth="1"/>
    <col min="15" max="15" width="11.140625" customWidth="1"/>
  </cols>
  <sheetData>
    <row r="1" spans="1:18" ht="15.75">
      <c r="A1" s="43" t="s">
        <v>52</v>
      </c>
      <c r="B1" s="1"/>
      <c r="C1" s="1"/>
      <c r="D1" s="1"/>
      <c r="E1" s="1"/>
      <c r="F1" s="81" t="s">
        <v>53</v>
      </c>
      <c r="G1" s="1"/>
      <c r="H1" s="4" t="s">
        <v>37</v>
      </c>
      <c r="I1" s="1"/>
    </row>
    <row r="2" spans="1:18" ht="15.75">
      <c r="A2" s="34"/>
      <c r="B2" s="1"/>
      <c r="C2" s="1"/>
      <c r="D2" s="1"/>
      <c r="E2" s="1"/>
      <c r="F2" s="35"/>
      <c r="G2" s="1"/>
      <c r="H2" s="4" t="s">
        <v>18</v>
      </c>
      <c r="I2" s="1"/>
    </row>
    <row r="3" spans="1:18" ht="15.75">
      <c r="A3" s="34" t="str">
        <f>+IF(F1="No","Bottom Width (meters) ="," ")</f>
        <v>Bottom Width (meters) =</v>
      </c>
      <c r="B3" s="1"/>
      <c r="C3" s="1"/>
      <c r="D3" s="1"/>
      <c r="E3" s="1"/>
      <c r="F3" s="108">
        <v>53</v>
      </c>
      <c r="G3" s="1"/>
      <c r="H3" s="2" t="s">
        <v>30</v>
      </c>
      <c r="I3" s="1"/>
    </row>
    <row r="4" spans="1:18" ht="15.75">
      <c r="A4" s="112" t="str">
        <f>+IF(F1="Yes","Horizontal Portion of Side Slope (ie 3 for 3:1)  =","  ")</f>
        <v xml:space="preserve">  </v>
      </c>
      <c r="B4" s="1"/>
      <c r="C4" s="1"/>
      <c r="D4" s="1"/>
      <c r="E4" s="1"/>
      <c r="F4" s="108">
        <v>7.4</v>
      </c>
      <c r="G4" s="1"/>
      <c r="H4" s="2" t="s">
        <v>43</v>
      </c>
      <c r="I4" s="1"/>
    </row>
    <row r="5" spans="1:18" ht="18">
      <c r="A5" s="148" t="str">
        <f>+IF(F1="Yes","Bottom Width (ft)="," ")</f>
        <v xml:space="preserve"> </v>
      </c>
      <c r="B5" s="13"/>
      <c r="C5" s="13"/>
      <c r="D5" s="13"/>
      <c r="E5" s="13"/>
      <c r="F5" s="150" t="str">
        <f>+IF($F$1="Yes",($F$9+2*$F$7*$F$8)," ")</f>
        <v xml:space="preserve"> </v>
      </c>
      <c r="G5" s="1"/>
      <c r="H5" s="2" t="s">
        <v>42</v>
      </c>
      <c r="I5" s="1"/>
      <c r="O5" s="136">
        <f>+F9</f>
        <v>33</v>
      </c>
    </row>
    <row r="6" spans="1:18">
      <c r="A6" s="1"/>
      <c r="B6" s="1"/>
      <c r="C6" s="1"/>
      <c r="D6" s="1"/>
      <c r="E6" s="1"/>
      <c r="F6" s="1"/>
      <c r="G6" s="1"/>
      <c r="H6" s="2" t="s">
        <v>19</v>
      </c>
      <c r="I6" s="1"/>
    </row>
    <row r="7" spans="1:18" ht="20.25">
      <c r="A7" s="5" t="s">
        <v>54</v>
      </c>
      <c r="B7" s="5"/>
      <c r="C7" s="5"/>
      <c r="D7" s="5"/>
      <c r="E7" s="5"/>
      <c r="F7" s="87">
        <v>3.3</v>
      </c>
      <c r="G7" s="1"/>
      <c r="H7" s="95" t="s">
        <v>135</v>
      </c>
      <c r="I7" s="1"/>
      <c r="R7" s="50">
        <f>+F8</f>
        <v>3.0303030303030303</v>
      </c>
    </row>
    <row r="8" spans="1:18" ht="15.75">
      <c r="A8" s="44" t="s">
        <v>55</v>
      </c>
      <c r="B8" s="7"/>
      <c r="C8" s="7"/>
      <c r="D8" s="7"/>
      <c r="E8" s="7"/>
      <c r="F8" s="36">
        <f>+IF(F1="No",K20,F4)</f>
        <v>3.0303030303030303</v>
      </c>
      <c r="G8" s="1"/>
      <c r="H8" s="1"/>
      <c r="I8" s="1"/>
    </row>
    <row r="9" spans="1:18" ht="15.75">
      <c r="A9" s="5" t="s">
        <v>17</v>
      </c>
      <c r="B9" s="5"/>
      <c r="C9" s="5"/>
      <c r="D9" s="5"/>
      <c r="E9" s="5"/>
      <c r="F9" s="87">
        <v>33</v>
      </c>
      <c r="G9" s="1"/>
      <c r="H9" s="1" t="s">
        <v>27</v>
      </c>
      <c r="I9" s="1"/>
      <c r="P9" s="17"/>
    </row>
    <row r="10" spans="1:18" ht="18">
      <c r="A10" s="5"/>
      <c r="B10" s="5"/>
      <c r="C10" s="5"/>
      <c r="D10" s="5"/>
      <c r="E10" s="5"/>
      <c r="F10" s="5"/>
      <c r="G10" s="1"/>
      <c r="H10" s="1"/>
      <c r="J10" s="134">
        <f>+F7</f>
        <v>3.3</v>
      </c>
    </row>
    <row r="11" spans="1:18" ht="15.75">
      <c r="A11" s="5" t="s">
        <v>94</v>
      </c>
      <c r="B11" s="5"/>
      <c r="C11" s="5"/>
      <c r="D11" s="5"/>
      <c r="E11" s="5"/>
      <c r="F11" s="81">
        <v>120</v>
      </c>
      <c r="G11" s="1"/>
      <c r="H11" s="1" t="s">
        <v>41</v>
      </c>
      <c r="I11" s="1"/>
    </row>
    <row r="12" spans="1:18" ht="15.75">
      <c r="A12" s="5"/>
      <c r="B12" s="5"/>
      <c r="C12" s="5"/>
      <c r="D12" s="5"/>
      <c r="E12" s="5"/>
      <c r="F12" s="5"/>
      <c r="G12" s="1"/>
      <c r="H12" s="1"/>
      <c r="I12" s="1"/>
    </row>
    <row r="13" spans="1:18" ht="15.75">
      <c r="A13" s="5" t="s">
        <v>38</v>
      </c>
      <c r="B13" s="5"/>
      <c r="C13" s="5"/>
      <c r="D13" s="5"/>
      <c r="E13" s="5"/>
      <c r="F13" s="81">
        <v>0.34</v>
      </c>
      <c r="G13" s="1"/>
      <c r="H13" s="9" t="s">
        <v>39</v>
      </c>
      <c r="I13" s="1"/>
    </row>
    <row r="14" spans="1:18" ht="15.75">
      <c r="B14" s="5"/>
      <c r="C14" s="5"/>
      <c r="D14" s="5"/>
      <c r="E14" s="5"/>
      <c r="F14" s="10" t="str">
        <f>+IF(F13&gt;1,"F13 must be less than 1"," ")</f>
        <v xml:space="preserve"> </v>
      </c>
      <c r="G14" s="1"/>
      <c r="H14" s="1"/>
      <c r="I14" s="1"/>
    </row>
    <row r="15" spans="1:18" ht="15.75">
      <c r="A15" s="5" t="s">
        <v>36</v>
      </c>
      <c r="B15" s="5"/>
      <c r="C15" s="5"/>
      <c r="D15" s="5"/>
      <c r="E15" s="5"/>
      <c r="F15" s="81">
        <v>15</v>
      </c>
      <c r="G15" s="1"/>
      <c r="H15" s="1" t="s">
        <v>49</v>
      </c>
      <c r="I15" s="1"/>
    </row>
    <row r="16" spans="1:18" ht="15.75">
      <c r="A16" s="5"/>
      <c r="B16" s="5"/>
      <c r="C16" s="5"/>
      <c r="D16" s="5"/>
      <c r="E16" s="5"/>
      <c r="F16" s="10" t="str">
        <f>+IF(F15&gt;60,"Consider a thinner layer in cell F15", " ")</f>
        <v xml:space="preserve"> </v>
      </c>
      <c r="G16" s="1"/>
      <c r="H16" s="1"/>
      <c r="I16" s="1"/>
    </row>
    <row r="17" spans="1:16" ht="15.75">
      <c r="A17" s="5" t="s">
        <v>29</v>
      </c>
      <c r="B17" s="5"/>
      <c r="C17" s="5"/>
      <c r="D17" s="5"/>
      <c r="E17" s="5" t="s">
        <v>127</v>
      </c>
      <c r="F17" s="5"/>
      <c r="G17" s="1"/>
      <c r="H17" s="5" t="s">
        <v>31</v>
      </c>
      <c r="I17" s="1"/>
    </row>
    <row r="18" spans="1:16" ht="18">
      <c r="A18" s="6" t="s">
        <v>51</v>
      </c>
      <c r="B18" s="5"/>
      <c r="C18" s="5"/>
      <c r="D18" s="5"/>
      <c r="E18" s="5"/>
      <c r="F18" s="5"/>
      <c r="G18" s="1"/>
      <c r="H18" s="5"/>
      <c r="I18" s="1"/>
      <c r="K18" s="14"/>
      <c r="O18" s="134">
        <f>+IF(F1="No", F3,(F9+2*F7*F8))</f>
        <v>53</v>
      </c>
    </row>
    <row r="19" spans="1:16" ht="15.75">
      <c r="A19" s="5" t="s">
        <v>21</v>
      </c>
      <c r="B19" s="5"/>
      <c r="C19" s="11" t="s">
        <v>0</v>
      </c>
      <c r="D19" s="5"/>
      <c r="E19" s="5"/>
      <c r="F19" s="81">
        <v>18144</v>
      </c>
      <c r="G19" s="113">
        <f>IF(F19&gt;0,H19,0)</f>
        <v>100</v>
      </c>
      <c r="H19" s="86">
        <v>100</v>
      </c>
      <c r="I19" s="127" t="str">
        <f>IF(AND(F19&gt;0,H19&lt;1), "Error in Cell F19 or H19", IF(AND(F19&lt;1,H19&gt;0),"Error in Cell F19 or H19"," "))</f>
        <v xml:space="preserve"> </v>
      </c>
      <c r="J19" s="12"/>
      <c r="K19" s="12"/>
      <c r="L19" s="12"/>
      <c r="M19" s="17"/>
      <c r="N19" s="17"/>
      <c r="O19" s="17"/>
      <c r="P19" s="17"/>
    </row>
    <row r="20" spans="1:16" ht="15.75">
      <c r="A20" s="5" t="s">
        <v>22</v>
      </c>
      <c r="B20" s="5"/>
      <c r="C20" s="11" t="s">
        <v>0</v>
      </c>
      <c r="D20" s="5"/>
      <c r="E20" s="5"/>
      <c r="F20" s="81">
        <v>18144</v>
      </c>
      <c r="G20" s="113">
        <f>IF(F20&gt;0,H20,0)</f>
        <v>100</v>
      </c>
      <c r="H20" s="86">
        <v>100</v>
      </c>
      <c r="I20" s="127" t="str">
        <f>IF(AND(F20&gt;0,H20&lt;1), "Error in Cell F20 or H20", IF(AND(F20&lt;1,H20&gt;0),"Error in Cell F20 or H20"," "))</f>
        <v xml:space="preserve"> </v>
      </c>
      <c r="J20" s="12"/>
      <c r="K20" s="114">
        <f>+(F3-F9)/2/F7</f>
        <v>3.0303030303030303</v>
      </c>
      <c r="L20" s="12"/>
      <c r="M20" s="78"/>
      <c r="N20" s="17"/>
      <c r="O20" s="17"/>
      <c r="P20" s="17"/>
    </row>
    <row r="21" spans="1:16" ht="15.75">
      <c r="A21" s="5" t="s">
        <v>23</v>
      </c>
      <c r="B21" s="5"/>
      <c r="C21" s="11" t="s">
        <v>0</v>
      </c>
      <c r="D21" s="5"/>
      <c r="E21" s="5"/>
      <c r="F21" s="81">
        <v>0</v>
      </c>
      <c r="G21" s="113">
        <f>IF(F21&gt;0,H21,0)</f>
        <v>0</v>
      </c>
      <c r="H21" s="86">
        <v>0</v>
      </c>
      <c r="I21" s="127" t="str">
        <f>IF(AND(F21&gt;0,H21&lt;1), "Error in Cell F21 or H21", IF(AND(F21&lt;1,H21&gt;0),"Error in Cell F21 or H21"," "))</f>
        <v xml:space="preserve"> </v>
      </c>
      <c r="J21" s="12"/>
      <c r="K21" s="12"/>
      <c r="L21" s="12"/>
      <c r="M21" s="78"/>
      <c r="N21" s="17"/>
      <c r="O21" s="17"/>
      <c r="P21" s="17"/>
    </row>
    <row r="22" spans="1:16" ht="15.75">
      <c r="A22" s="5" t="s">
        <v>24</v>
      </c>
      <c r="B22" s="5"/>
      <c r="C22" s="11" t="s">
        <v>0</v>
      </c>
      <c r="D22" s="5"/>
      <c r="E22" s="5"/>
      <c r="F22" s="81">
        <v>0</v>
      </c>
      <c r="G22" s="113">
        <f>IF(F22&gt;0,H22,0)</f>
        <v>0</v>
      </c>
      <c r="H22" s="86">
        <v>0</v>
      </c>
      <c r="I22" s="127" t="str">
        <f>IF(AND(F22&gt;0,H22&lt;1), "Error in Cell F22 or H22", IF(AND(F22&lt;1,H22&gt;0),"Error in Cell F22 or H22"," "))</f>
        <v xml:space="preserve"> </v>
      </c>
      <c r="J22" s="12"/>
      <c r="K22" s="12"/>
      <c r="L22" s="17"/>
      <c r="M22" s="78"/>
      <c r="N22" s="17"/>
      <c r="O22" s="17"/>
      <c r="P22" s="17"/>
    </row>
    <row r="23" spans="1:16" ht="15.75">
      <c r="A23" s="5" t="s">
        <v>44</v>
      </c>
      <c r="C23" s="5"/>
      <c r="D23" s="5"/>
      <c r="E23" s="5"/>
      <c r="F23" s="88">
        <f>+F19*H19/100 +F20*H20/100+F21*H21/100+F22*H22/100</f>
        <v>36288</v>
      </c>
      <c r="G23" s="1"/>
      <c r="H23" s="1"/>
      <c r="I23" s="13"/>
      <c r="J23" s="17"/>
      <c r="K23" s="12"/>
      <c r="L23" s="17"/>
      <c r="M23" s="78"/>
      <c r="N23" s="17"/>
      <c r="O23" s="17"/>
      <c r="P23" s="17"/>
    </row>
    <row r="24" spans="1:16" ht="15.75">
      <c r="A24" s="5" t="s">
        <v>34</v>
      </c>
      <c r="B24" s="5"/>
      <c r="C24" s="5"/>
      <c r="D24" s="5"/>
      <c r="E24" s="5"/>
      <c r="F24" s="85">
        <f>+F7*(F9+F7*F8)/(F9+2*F7*F8)</f>
        <v>2.6773584905660379</v>
      </c>
      <c r="G24" s="1"/>
      <c r="H24" s="52" t="s">
        <v>32</v>
      </c>
      <c r="I24" s="13"/>
      <c r="J24" s="17"/>
      <c r="K24" s="12"/>
      <c r="L24" s="17"/>
      <c r="M24" s="78"/>
      <c r="N24" s="17"/>
      <c r="O24" s="17"/>
      <c r="P24" s="17"/>
    </row>
    <row r="25" spans="1:16" ht="15.75">
      <c r="A25" s="5"/>
      <c r="B25" s="5"/>
      <c r="C25" s="5"/>
      <c r="D25" s="5"/>
      <c r="E25" s="5"/>
      <c r="F25" s="51"/>
      <c r="G25" s="1"/>
      <c r="I25" s="13"/>
      <c r="J25" s="17"/>
      <c r="K25" s="17"/>
      <c r="L25" s="17"/>
      <c r="M25" s="17"/>
      <c r="N25" s="17"/>
      <c r="O25" s="17"/>
      <c r="P25" s="17"/>
    </row>
    <row r="26" spans="1:16">
      <c r="G26" s="1"/>
      <c r="H26" s="1"/>
      <c r="I26" s="13"/>
      <c r="J26" s="96"/>
      <c r="K26" s="96"/>
      <c r="L26" s="96"/>
      <c r="M26" s="96"/>
      <c r="N26" s="96"/>
      <c r="O26" s="96"/>
      <c r="P26" s="17"/>
    </row>
    <row r="27" spans="1:16" ht="15.75">
      <c r="A27" s="6" t="s">
        <v>66</v>
      </c>
      <c r="B27" s="5"/>
      <c r="C27" s="5"/>
      <c r="D27" s="5"/>
      <c r="E27" s="5"/>
      <c r="F27" s="5"/>
      <c r="G27" s="1"/>
      <c r="H27" s="1"/>
      <c r="I27" s="13"/>
      <c r="J27" s="96"/>
      <c r="K27" s="96"/>
      <c r="L27" s="96"/>
      <c r="M27" s="96"/>
      <c r="N27" s="96"/>
      <c r="O27" s="96"/>
      <c r="P27" s="17"/>
    </row>
    <row r="28" spans="1:16" ht="15.75">
      <c r="A28" s="5"/>
      <c r="B28" s="5"/>
      <c r="C28" s="5"/>
      <c r="D28" s="7" t="s">
        <v>25</v>
      </c>
      <c r="E28" s="7"/>
      <c r="F28" s="126">
        <f>+(($F$19*$G$19+$F$20*$G$20+$F$21*$G$21+$F$22*$G$22)/IF(SUM($G$19:$G$22),SUM($G$19:$G$22),1)/$F$15)*($F$13*10*SUM($G$19:$G$22)/$F$11)^0.5</f>
        <v>2879.4239423884774</v>
      </c>
      <c r="G28" s="1"/>
      <c r="H28" s="8" t="s">
        <v>28</v>
      </c>
      <c r="I28" s="13"/>
      <c r="J28" s="96"/>
      <c r="K28" s="97"/>
      <c r="L28" s="96"/>
      <c r="M28" s="96"/>
      <c r="N28" s="96"/>
      <c r="O28" s="96"/>
      <c r="P28" s="17"/>
    </row>
    <row r="29" spans="1:16" ht="15.75">
      <c r="A29" s="7" t="s">
        <v>78</v>
      </c>
      <c r="B29" s="8"/>
      <c r="C29" s="8"/>
      <c r="D29" s="8"/>
      <c r="E29" s="8"/>
      <c r="F29" s="53">
        <f>F35/F13</f>
        <v>709.22195601206386</v>
      </c>
      <c r="G29" s="1"/>
      <c r="H29" s="3" t="s">
        <v>79</v>
      </c>
      <c r="I29" s="3"/>
      <c r="J29" s="96"/>
      <c r="K29" s="96"/>
      <c r="L29" s="96"/>
      <c r="M29" s="96"/>
      <c r="N29" s="96"/>
      <c r="O29" s="96"/>
      <c r="P29" s="17"/>
    </row>
    <row r="30" spans="1:16" ht="15.75">
      <c r="A30" s="7" t="s">
        <v>80</v>
      </c>
      <c r="B30" s="8"/>
      <c r="C30" s="8"/>
      <c r="D30" s="8"/>
      <c r="E30" s="8"/>
      <c r="F30" s="53">
        <f>F13*1499.47 +(1-F13)*999.65</f>
        <v>1169.5888</v>
      </c>
      <c r="G30" s="1"/>
      <c r="H30" s="3" t="s">
        <v>71</v>
      </c>
      <c r="I30" s="79"/>
      <c r="J30" s="96"/>
      <c r="K30" s="93"/>
      <c r="L30" s="93"/>
      <c r="M30" s="93"/>
      <c r="N30" s="93"/>
      <c r="O30" s="96"/>
      <c r="P30" s="17"/>
    </row>
    <row r="31" spans="1:16">
      <c r="A31" s="1"/>
      <c r="B31" s="1"/>
      <c r="C31" s="1"/>
      <c r="D31" s="1"/>
      <c r="E31" s="1"/>
      <c r="F31" s="55"/>
      <c r="G31" s="1"/>
      <c r="H31" s="1"/>
      <c r="I31" s="13"/>
      <c r="J31" s="93"/>
      <c r="K31" s="93"/>
      <c r="L31" s="93"/>
      <c r="M31" s="93"/>
      <c r="N31" s="93"/>
      <c r="O31" s="96"/>
      <c r="P31" s="17"/>
    </row>
    <row r="32" spans="1:16" ht="15.75">
      <c r="A32" s="1"/>
      <c r="B32" s="13"/>
      <c r="C32" s="13"/>
      <c r="D32" s="13"/>
      <c r="E32" s="7" t="s">
        <v>72</v>
      </c>
      <c r="F32" s="54">
        <f>1-(F29/F30)</f>
        <v>0.39361427194577803</v>
      </c>
      <c r="G32" s="1"/>
      <c r="H32" s="3" t="s">
        <v>73</v>
      </c>
      <c r="I32" s="3"/>
      <c r="J32" s="93"/>
      <c r="K32" s="94"/>
      <c r="L32" s="94"/>
      <c r="M32" s="94"/>
      <c r="O32" s="96"/>
      <c r="P32" s="17"/>
    </row>
    <row r="33" spans="1:16" ht="15.75">
      <c r="A33" s="1"/>
      <c r="B33" s="1"/>
      <c r="C33" s="1"/>
      <c r="D33" s="1"/>
      <c r="E33" s="1"/>
      <c r="F33" s="56"/>
      <c r="G33" s="1"/>
      <c r="H33" s="1"/>
      <c r="I33" s="13"/>
      <c r="J33" s="93"/>
      <c r="K33" s="94"/>
      <c r="L33" s="94"/>
      <c r="M33" s="94"/>
      <c r="N33" s="94"/>
      <c r="O33" s="96"/>
      <c r="P33" s="17"/>
    </row>
    <row r="34" spans="1:16" ht="15.75">
      <c r="A34" s="1"/>
      <c r="B34" s="1"/>
      <c r="C34" s="1"/>
      <c r="D34" s="1"/>
      <c r="E34" s="1"/>
      <c r="F34" s="55"/>
      <c r="G34" s="1"/>
      <c r="H34" s="1"/>
      <c r="I34" s="13"/>
      <c r="J34" s="93"/>
      <c r="K34" s="94"/>
      <c r="L34" s="94"/>
      <c r="M34" s="94"/>
      <c r="N34" s="94"/>
      <c r="O34" s="96"/>
      <c r="P34" s="17"/>
    </row>
    <row r="35" spans="1:16" ht="15.75">
      <c r="A35" s="7" t="s">
        <v>35</v>
      </c>
      <c r="B35" s="7"/>
      <c r="C35" s="7"/>
      <c r="D35" s="7"/>
      <c r="E35" s="7"/>
      <c r="F35" s="53">
        <f>+IF(F36&lt;J37,F36,J37)</f>
        <v>241.13546504410172</v>
      </c>
      <c r="G35" s="1"/>
      <c r="H35" s="3" t="s">
        <v>77</v>
      </c>
      <c r="I35" s="3"/>
      <c r="K35" s="94"/>
      <c r="L35" s="94"/>
      <c r="M35" s="94"/>
      <c r="N35" s="94"/>
      <c r="O35" s="96"/>
      <c r="P35" s="17"/>
    </row>
    <row r="36" spans="1:16" ht="15.75">
      <c r="A36" s="7" t="s">
        <v>47</v>
      </c>
      <c r="B36" s="8"/>
      <c r="C36" s="8"/>
      <c r="D36" s="8"/>
      <c r="E36" s="8"/>
      <c r="F36" s="53">
        <f>+F13*(F13*1500 + (1-F13)*1000)</f>
        <v>397.8</v>
      </c>
      <c r="G36" s="1"/>
      <c r="H36" s="3" t="s">
        <v>74</v>
      </c>
      <c r="I36" s="80"/>
      <c r="J36" s="96"/>
      <c r="K36" s="96"/>
      <c r="L36" s="96"/>
      <c r="M36" s="96"/>
      <c r="N36" s="96"/>
      <c r="O36" s="96"/>
      <c r="P36" s="17"/>
    </row>
    <row r="37" spans="1:16" ht="15.75">
      <c r="A37" s="122" t="str">
        <f>+IF(F35=F36,"Estimated DM Density controlled by Maximum Achievable Density","")</f>
        <v/>
      </c>
      <c r="B37" s="1"/>
      <c r="C37" s="1"/>
      <c r="D37" s="1"/>
      <c r="E37" s="1"/>
      <c r="F37" s="1"/>
      <c r="G37" s="1"/>
      <c r="H37" s="1"/>
      <c r="I37" s="17"/>
      <c r="J37" s="103">
        <f>(+F28*0.042 + 136.3)*(0.818+0.0446*F24)</f>
        <v>241.13546504410172</v>
      </c>
      <c r="K37" s="96"/>
      <c r="L37" s="96"/>
      <c r="M37" s="96"/>
      <c r="N37" s="96"/>
      <c r="O37" s="96"/>
      <c r="P37" s="17"/>
    </row>
    <row r="38" spans="1:16">
      <c r="G38" s="1"/>
      <c r="H38" s="1"/>
      <c r="I38" s="17"/>
      <c r="J38" s="96"/>
      <c r="K38" s="96"/>
      <c r="L38" s="96"/>
      <c r="M38" s="96"/>
      <c r="N38" s="96"/>
      <c r="O38" s="96"/>
      <c r="P38" s="17"/>
    </row>
    <row r="39" spans="1:16">
      <c r="J39" s="98"/>
      <c r="K39" s="98"/>
      <c r="L39" s="98"/>
      <c r="M39" s="98"/>
      <c r="N39" s="98"/>
      <c r="O39" s="98"/>
    </row>
    <row r="40" spans="1:16">
      <c r="J40" s="98"/>
      <c r="K40" s="98"/>
      <c r="L40" s="98"/>
      <c r="M40" s="98"/>
      <c r="N40" s="98"/>
      <c r="O40" s="98"/>
    </row>
    <row r="41" spans="1:16">
      <c r="J41" s="98"/>
      <c r="K41" s="98"/>
      <c r="L41" s="98"/>
      <c r="M41" s="98"/>
      <c r="N41" s="98"/>
      <c r="O41" s="98"/>
    </row>
    <row r="42" spans="1:16">
      <c r="J42" s="98"/>
      <c r="K42" s="98"/>
      <c r="L42" s="98"/>
      <c r="M42" s="98"/>
      <c r="N42" s="98"/>
      <c r="O42" s="98"/>
    </row>
    <row r="43" spans="1:16">
      <c r="J43" s="98"/>
      <c r="K43" s="98"/>
      <c r="L43" s="98"/>
      <c r="M43" s="98"/>
      <c r="N43" s="98"/>
      <c r="O43" s="98"/>
    </row>
    <row r="44" spans="1:16">
      <c r="J44" s="98"/>
      <c r="K44" s="98"/>
      <c r="L44" s="98"/>
      <c r="M44" s="98"/>
      <c r="N44" s="98"/>
      <c r="O44" s="98"/>
    </row>
  </sheetData>
  <sheetProtection sheet="1" objects="1" scenarios="1"/>
  <phoneticPr fontId="0" type="noConversion"/>
  <conditionalFormatting sqref="F4">
    <cfRule type="expression" dxfId="37" priority="7" stopIfTrue="1">
      <formula>OR(F1="n", F1="no")</formula>
    </cfRule>
  </conditionalFormatting>
  <conditionalFormatting sqref="F3">
    <cfRule type="expression" dxfId="36" priority="8" stopIfTrue="1">
      <formula>F1="Yes"</formula>
    </cfRule>
  </conditionalFormatting>
  <conditionalFormatting sqref="B5">
    <cfRule type="expression" dxfId="35" priority="6">
      <formula xml:space="preserve"> F1 = "Yes"</formula>
    </cfRule>
  </conditionalFormatting>
  <conditionalFormatting sqref="C5">
    <cfRule type="expression" dxfId="34" priority="5">
      <formula xml:space="preserve"> F1 = "Yes"</formula>
    </cfRule>
  </conditionalFormatting>
  <conditionalFormatting sqref="D5">
    <cfRule type="expression" dxfId="33" priority="4">
      <formula xml:space="preserve"> F1 = "Yes"</formula>
    </cfRule>
  </conditionalFormatting>
  <conditionalFormatting sqref="A5">
    <cfRule type="expression" dxfId="32" priority="3">
      <formula xml:space="preserve"> F1 = "Yes"</formula>
    </cfRule>
  </conditionalFormatting>
  <conditionalFormatting sqref="E5">
    <cfRule type="expression" dxfId="31" priority="2">
      <formula xml:space="preserve"> F1 = "Yes"</formula>
    </cfRule>
  </conditionalFormatting>
  <conditionalFormatting sqref="F5">
    <cfRule type="expression" dxfId="30" priority="1">
      <formula xml:space="preserve"> F1 = "Yes"</formula>
    </cfRule>
  </conditionalFormatting>
  <dataValidations count="1">
    <dataValidation type="list" allowBlank="1" showInputMessage="1" showErrorMessage="1" error="Click the Arrow to get a choice of Yes or No" prompt="Click on Arrow for choices" sqref="F1">
      <formula1>"No, Yes"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="75" zoomScaleNormal="75" workbookViewId="0">
      <selection activeCell="F1" sqref="F1"/>
    </sheetView>
  </sheetViews>
  <sheetFormatPr defaultRowHeight="12.75"/>
  <cols>
    <col min="1" max="3" width="9.140625" style="1"/>
    <col min="4" max="4" width="10.7109375" style="1" customWidth="1"/>
    <col min="5" max="5" width="59.28515625" style="1" customWidth="1"/>
    <col min="6" max="6" width="11" style="1" bestFit="1" customWidth="1"/>
    <col min="7" max="7" width="4.7109375" style="1" customWidth="1"/>
    <col min="8" max="8" width="65.5703125" style="1" customWidth="1"/>
    <col min="9" max="9" width="14.42578125" style="1" customWidth="1"/>
    <col min="10" max="10" width="9.28515625" style="1" bestFit="1" customWidth="1"/>
    <col min="11" max="11" width="12.42578125" style="1" customWidth="1"/>
    <col min="12" max="12" width="12" style="1" customWidth="1"/>
    <col min="13" max="14" width="9.7109375" style="1" bestFit="1" customWidth="1"/>
    <col min="15" max="16384" width="9.140625" style="1"/>
  </cols>
  <sheetData>
    <row r="1" spans="1:15" ht="15.75">
      <c r="A1" s="5" t="s">
        <v>65</v>
      </c>
      <c r="F1" s="81" t="s">
        <v>53</v>
      </c>
      <c r="H1" s="4" t="s">
        <v>96</v>
      </c>
    </row>
    <row r="2" spans="1:15" ht="15.75">
      <c r="A2" s="5"/>
      <c r="F2" s="89"/>
      <c r="H2" s="4" t="s">
        <v>97</v>
      </c>
    </row>
    <row r="3" spans="1:15" ht="18">
      <c r="A3" s="109" t="str">
        <f>IF(F1="No","Ancho de la base (pies)=", " ")</f>
        <v>Ancho de la base (pies)=</v>
      </c>
      <c r="F3" s="108">
        <v>160</v>
      </c>
      <c r="H3" s="106" t="s">
        <v>132</v>
      </c>
      <c r="I3" s="106"/>
      <c r="J3" s="106"/>
      <c r="K3" s="106"/>
      <c r="L3" s="106"/>
      <c r="M3" s="106"/>
      <c r="N3" s="106"/>
      <c r="O3" s="106"/>
    </row>
    <row r="4" spans="1:15" ht="19.5">
      <c r="A4" s="109" t="str">
        <f>+IF(F1="Si","La Distancia Horizontal con relacion a la Pendiente (por ejemplo 3, en 3:1)  ="," ")</f>
        <v xml:space="preserve"> </v>
      </c>
      <c r="F4" s="108">
        <v>3.8</v>
      </c>
      <c r="H4" s="106" t="s">
        <v>134</v>
      </c>
      <c r="I4" s="106"/>
      <c r="J4" s="106"/>
      <c r="K4" s="106"/>
      <c r="L4" s="106"/>
      <c r="M4" s="137">
        <f>F9</f>
        <v>100</v>
      </c>
      <c r="N4" s="106"/>
      <c r="O4" s="106"/>
    </row>
    <row r="5" spans="1:15" ht="18">
      <c r="A5" s="148" t="str">
        <f>+IF(F1="Si","Ancho de la base (pies)="," ")</f>
        <v xml:space="preserve"> </v>
      </c>
      <c r="B5" s="13"/>
      <c r="C5" s="13"/>
      <c r="D5" s="13"/>
      <c r="E5" s="13"/>
      <c r="F5" s="149" t="str">
        <f>+IF($F$1="Si",($F$9+2*$F$7*$F$8)," ")</f>
        <v xml:space="preserve"> </v>
      </c>
      <c r="H5" s="106" t="s">
        <v>133</v>
      </c>
      <c r="I5" s="106"/>
      <c r="J5" s="106"/>
      <c r="K5" s="106"/>
      <c r="L5" s="106"/>
      <c r="M5" s="106"/>
      <c r="N5" s="106"/>
      <c r="O5" s="106"/>
    </row>
    <row r="6" spans="1:15" ht="18">
      <c r="H6" s="106" t="s">
        <v>131</v>
      </c>
      <c r="I6" s="106"/>
      <c r="J6" s="106"/>
      <c r="K6" s="106"/>
      <c r="L6" s="106"/>
      <c r="M6" s="106"/>
      <c r="N6" s="106"/>
      <c r="O6" s="106"/>
    </row>
    <row r="7" spans="1:15" ht="19.5">
      <c r="A7" s="5" t="s">
        <v>98</v>
      </c>
      <c r="B7" s="5"/>
      <c r="C7" s="5"/>
      <c r="D7" s="5"/>
      <c r="E7" s="5"/>
      <c r="F7" s="81">
        <v>10</v>
      </c>
      <c r="G7" s="47"/>
      <c r="H7" s="107" t="s">
        <v>130</v>
      </c>
      <c r="I7" s="106"/>
      <c r="J7" s="106"/>
      <c r="K7" s="106"/>
      <c r="L7" s="106"/>
      <c r="M7" s="106"/>
      <c r="N7" s="106"/>
      <c r="O7" s="117">
        <f>F8</f>
        <v>3</v>
      </c>
    </row>
    <row r="8" spans="1:15" ht="15.75">
      <c r="A8" s="7" t="s">
        <v>99</v>
      </c>
      <c r="B8" s="7"/>
      <c r="C8" s="7"/>
      <c r="D8" s="7"/>
      <c r="E8" s="38"/>
      <c r="F8" s="53">
        <f>+IF(F1="No",J39,F4)</f>
        <v>3</v>
      </c>
      <c r="G8" s="47"/>
    </row>
    <row r="9" spans="1:15" ht="15.75">
      <c r="A9" s="5" t="s">
        <v>100</v>
      </c>
      <c r="B9" s="5"/>
      <c r="C9" s="5"/>
      <c r="D9" s="5"/>
      <c r="E9" s="5"/>
      <c r="F9" s="81">
        <v>100</v>
      </c>
      <c r="G9" s="47"/>
      <c r="H9" s="1" t="s">
        <v>101</v>
      </c>
    </row>
    <row r="10" spans="1:15" ht="15.75">
      <c r="A10" s="5"/>
      <c r="B10" s="5"/>
      <c r="C10" s="5"/>
      <c r="D10" s="5"/>
      <c r="E10" s="5"/>
      <c r="F10" s="5"/>
    </row>
    <row r="11" spans="1:15" ht="18">
      <c r="A11" s="5" t="s">
        <v>102</v>
      </c>
      <c r="B11" s="5"/>
      <c r="C11" s="5"/>
      <c r="D11" s="5"/>
      <c r="E11" s="5"/>
      <c r="F11" s="81">
        <v>120</v>
      </c>
      <c r="H11" s="1" t="s">
        <v>103</v>
      </c>
      <c r="I11" s="134">
        <f>+F7</f>
        <v>10</v>
      </c>
    </row>
    <row r="12" spans="1:15" ht="15.75">
      <c r="A12" s="5"/>
      <c r="B12" s="5"/>
      <c r="C12" s="5"/>
      <c r="D12" s="5"/>
      <c r="E12" s="5"/>
      <c r="F12" s="5"/>
    </row>
    <row r="13" spans="1:15" ht="15.75">
      <c r="A13" s="5" t="s">
        <v>104</v>
      </c>
      <c r="B13" s="5"/>
      <c r="C13" s="5"/>
      <c r="D13" s="5"/>
      <c r="E13" s="5"/>
      <c r="F13" s="81">
        <v>0.34</v>
      </c>
      <c r="H13" s="90" t="s">
        <v>105</v>
      </c>
    </row>
    <row r="14" spans="1:15" ht="18.75">
      <c r="B14" s="5"/>
      <c r="C14" s="5"/>
      <c r="D14" s="5"/>
      <c r="E14" s="5"/>
      <c r="F14" s="91" t="str">
        <f>IF(F13&gt;1,"F13 debe ser menor a 1"," ")</f>
        <v xml:space="preserve"> </v>
      </c>
    </row>
    <row r="15" spans="1:15" ht="15.75">
      <c r="A15" s="5" t="s">
        <v>106</v>
      </c>
      <c r="B15" s="5"/>
      <c r="C15" s="5"/>
      <c r="D15" s="5"/>
      <c r="E15" s="5"/>
      <c r="F15" s="81">
        <v>6</v>
      </c>
      <c r="H15" s="1" t="s">
        <v>107</v>
      </c>
    </row>
    <row r="16" spans="1:15" ht="18.75">
      <c r="A16" s="5"/>
      <c r="B16" s="5"/>
      <c r="C16" s="5"/>
      <c r="D16" s="5"/>
      <c r="E16" s="5"/>
      <c r="F16" s="91" t="str">
        <f>IF(F15&gt;24,"Considere lograr una capa mas delgada", " ")</f>
        <v xml:space="preserve"> </v>
      </c>
    </row>
    <row r="17" spans="1:18" ht="15.75">
      <c r="A17" s="5" t="s">
        <v>108</v>
      </c>
      <c r="B17" s="5"/>
      <c r="C17" s="5"/>
      <c r="D17" s="5"/>
      <c r="E17" s="5" t="s">
        <v>128</v>
      </c>
      <c r="F17" s="5"/>
      <c r="H17" s="5" t="s">
        <v>109</v>
      </c>
    </row>
    <row r="18" spans="1:18" ht="15.75">
      <c r="A18" s="6" t="s">
        <v>95</v>
      </c>
      <c r="B18" s="5"/>
      <c r="C18" s="5"/>
      <c r="D18" s="5"/>
      <c r="E18" s="5"/>
      <c r="F18" s="5"/>
      <c r="H18" s="5"/>
    </row>
    <row r="19" spans="1:18" ht="18.75">
      <c r="A19" s="5" t="s">
        <v>21</v>
      </c>
      <c r="B19" s="5"/>
      <c r="C19" s="11" t="s">
        <v>110</v>
      </c>
      <c r="D19" s="5"/>
      <c r="E19" s="5"/>
      <c r="F19" s="83">
        <v>40000</v>
      </c>
      <c r="G19" s="113">
        <f>IF(F19&gt;0,H19,0)</f>
        <v>100</v>
      </c>
      <c r="H19" s="86">
        <v>100</v>
      </c>
      <c r="I19" s="128" t="str">
        <f>IF(AND(F19&gt;0,H19&lt;1), "Error en celda F19 ó H19", IF(AND(F19&lt;1,H19&gt;0),"Error en celda F19 ó H19"," "))</f>
        <v xml:space="preserve"> </v>
      </c>
      <c r="L19" s="133">
        <f>+IF(F1="No", F3,(F9+2*F7*F8))</f>
        <v>160</v>
      </c>
    </row>
    <row r="20" spans="1:18" ht="18.75">
      <c r="A20" s="5" t="s">
        <v>22</v>
      </c>
      <c r="B20" s="5"/>
      <c r="C20" s="11" t="s">
        <v>110</v>
      </c>
      <c r="D20" s="5"/>
      <c r="E20" s="5"/>
      <c r="F20" s="83">
        <v>40000</v>
      </c>
      <c r="G20" s="113">
        <f>IF(F20&gt;0,H20,0)</f>
        <v>100</v>
      </c>
      <c r="H20" s="86">
        <v>100</v>
      </c>
      <c r="I20" s="128" t="str">
        <f>IF(AND(F20&gt;0,H20&lt;1), "Error en celda F20 ó H20", IF(AND(F20&lt;1,H20&gt;0),"Error en celda F20 ó H20"," "))</f>
        <v xml:space="preserve"> </v>
      </c>
    </row>
    <row r="21" spans="1:18" ht="18.75">
      <c r="A21" s="5" t="s">
        <v>23</v>
      </c>
      <c r="B21" s="5"/>
      <c r="C21" s="11" t="s">
        <v>110</v>
      </c>
      <c r="D21" s="5"/>
      <c r="E21" s="5"/>
      <c r="F21" s="83">
        <v>0</v>
      </c>
      <c r="G21" s="113">
        <f>IF(F21&gt;0,H21,0)</f>
        <v>0</v>
      </c>
      <c r="H21" s="86">
        <v>0</v>
      </c>
      <c r="I21" s="128" t="str">
        <f>IF(AND(F21&gt;0,H21&lt;1), "Error en celda F21 ó H21", IF(AND(F21&lt;1,H21&gt;0),"Error en celda F21 ó H21"," "))</f>
        <v xml:space="preserve"> </v>
      </c>
      <c r="K21" s="5"/>
    </row>
    <row r="22" spans="1:18" ht="18.75">
      <c r="A22" s="5" t="s">
        <v>24</v>
      </c>
      <c r="B22" s="5"/>
      <c r="C22" s="11" t="s">
        <v>110</v>
      </c>
      <c r="D22" s="5"/>
      <c r="E22" s="5"/>
      <c r="F22" s="83">
        <v>0</v>
      </c>
      <c r="G22" s="113">
        <f>IF(F22&gt;0,H22,0)</f>
        <v>0</v>
      </c>
      <c r="H22" s="86">
        <v>0</v>
      </c>
      <c r="I22" s="128" t="str">
        <f>IF(AND(F22&gt;0,H22&lt;1), "Error en celda F22 ó H22", IF(AND(F22&lt;1,H22&gt;0),"Error en celda F22 ó H22"," "))</f>
        <v xml:space="preserve"> </v>
      </c>
    </row>
    <row r="23" spans="1:18" ht="15.75">
      <c r="A23" s="5" t="s">
        <v>111</v>
      </c>
      <c r="C23" s="5"/>
      <c r="D23" s="5"/>
      <c r="E23" s="5"/>
      <c r="F23" s="84">
        <f>+F19*H19/100 +F20*H20/100+F21*H21/100+F22*H22/100</f>
        <v>80000</v>
      </c>
      <c r="I23" s="13"/>
      <c r="M23" s="12"/>
      <c r="N23" s="12"/>
    </row>
    <row r="24" spans="1:18" ht="15.75">
      <c r="A24" s="5" t="s">
        <v>112</v>
      </c>
      <c r="B24" s="5"/>
      <c r="C24" s="5"/>
      <c r="D24" s="5"/>
      <c r="E24" s="5"/>
      <c r="F24" s="85">
        <f>+F7*(F9+F7*F8)/(F9+2*F7*F8)</f>
        <v>8.125</v>
      </c>
      <c r="H24" s="52" t="s">
        <v>113</v>
      </c>
      <c r="M24" s="13"/>
      <c r="N24" s="12"/>
    </row>
    <row r="25" spans="1:18" ht="15.75">
      <c r="A25" s="5"/>
      <c r="B25" s="5"/>
      <c r="C25" s="5"/>
      <c r="D25" s="5"/>
      <c r="E25" s="5"/>
      <c r="F25" s="51"/>
      <c r="I25" s="12"/>
      <c r="M25" s="13"/>
      <c r="N25" s="12"/>
    </row>
    <row r="26" spans="1:18">
      <c r="G26" s="33"/>
      <c r="I26" s="15"/>
    </row>
    <row r="27" spans="1:18" ht="15.75">
      <c r="A27" s="6" t="s">
        <v>67</v>
      </c>
      <c r="B27" s="5"/>
      <c r="C27" s="5"/>
      <c r="D27" s="5"/>
      <c r="E27" s="5"/>
      <c r="F27" s="5"/>
    </row>
    <row r="28" spans="1:18" ht="15.75">
      <c r="A28" s="5"/>
      <c r="B28" s="5"/>
      <c r="C28" s="5"/>
      <c r="E28" s="7" t="s">
        <v>114</v>
      </c>
      <c r="F28" s="126">
        <f>+(($F$19*$G$19+$F$20*$G$20+$F$21*$G$21+$F$22*$G$22)/IF(SUM($G$19:$G$22),SUM($G$19:$G$22),1)/$F$15)*($F$13*SUM($G$19:$G$22)/$F$11/100)^0.5</f>
        <v>501.84843513938733</v>
      </c>
      <c r="H28" s="8" t="s">
        <v>115</v>
      </c>
      <c r="J28" s="92"/>
      <c r="K28" s="92"/>
      <c r="L28" s="92"/>
      <c r="M28" s="92"/>
      <c r="N28" s="92"/>
    </row>
    <row r="29" spans="1:18" ht="15.75">
      <c r="A29" s="7" t="s">
        <v>116</v>
      </c>
      <c r="B29" s="8"/>
      <c r="C29" s="8"/>
      <c r="D29" s="8"/>
      <c r="E29" s="8"/>
      <c r="F29" s="53">
        <f>F35/F13</f>
        <v>44.455080048286099</v>
      </c>
      <c r="H29" s="3" t="s">
        <v>117</v>
      </c>
      <c r="J29" s="92"/>
      <c r="K29" s="92"/>
      <c r="L29" s="92"/>
      <c r="M29" s="92"/>
      <c r="N29" s="92"/>
    </row>
    <row r="30" spans="1:18" ht="15.75">
      <c r="A30" s="7" t="s">
        <v>118</v>
      </c>
      <c r="B30" s="8"/>
      <c r="C30" s="8"/>
      <c r="D30" s="8"/>
      <c r="E30" s="8"/>
      <c r="F30" s="53">
        <f>F13*93.6 +(1-F13)*62.4</f>
        <v>73.007999999999996</v>
      </c>
      <c r="H30" s="3" t="s">
        <v>119</v>
      </c>
      <c r="I30" s="2"/>
      <c r="J30" s="93"/>
      <c r="K30" s="93"/>
      <c r="L30" s="93"/>
      <c r="M30" s="93"/>
      <c r="N30" s="93"/>
    </row>
    <row r="31" spans="1:18">
      <c r="J31" s="93"/>
      <c r="K31" s="93"/>
      <c r="L31" s="93"/>
      <c r="M31" s="93"/>
      <c r="N31" s="93"/>
      <c r="O31" s="37"/>
      <c r="P31" s="16"/>
      <c r="Q31" s="16"/>
      <c r="R31" s="16"/>
    </row>
    <row r="32" spans="1:18" ht="15.75">
      <c r="B32" s="13"/>
      <c r="C32" s="13"/>
      <c r="D32" s="13"/>
      <c r="E32" s="7" t="s">
        <v>120</v>
      </c>
      <c r="F32" s="54">
        <f>1-(F29/F30)</f>
        <v>0.39109303023934228</v>
      </c>
      <c r="H32" s="3" t="s">
        <v>121</v>
      </c>
      <c r="J32" s="93"/>
      <c r="K32" s="94"/>
      <c r="L32" s="94"/>
      <c r="M32" s="94"/>
      <c r="O32" s="37"/>
      <c r="P32" s="16"/>
      <c r="Q32" s="16"/>
      <c r="R32" s="16"/>
    </row>
    <row r="33" spans="1:18" ht="15.75">
      <c r="J33" s="93"/>
      <c r="K33" s="94"/>
      <c r="L33" s="94"/>
      <c r="M33" s="94"/>
      <c r="N33" s="94"/>
      <c r="O33" s="37"/>
      <c r="P33" s="16"/>
      <c r="Q33" s="16"/>
      <c r="R33" s="16"/>
    </row>
    <row r="34" spans="1:18" ht="15.75">
      <c r="J34" s="93"/>
      <c r="K34" s="94"/>
      <c r="L34" s="94"/>
      <c r="M34" s="94"/>
      <c r="N34" s="94"/>
      <c r="O34" s="37"/>
      <c r="P34" s="16"/>
      <c r="Q34" s="16"/>
      <c r="R34" s="16"/>
    </row>
    <row r="35" spans="1:18" ht="15.75">
      <c r="A35" s="7" t="s">
        <v>122</v>
      </c>
      <c r="B35" s="7"/>
      <c r="C35" s="7"/>
      <c r="D35" s="7"/>
      <c r="E35" s="7"/>
      <c r="F35" s="53">
        <f>+IF(F36&lt;J37,F36,J37)</f>
        <v>15.114727216417275</v>
      </c>
      <c r="H35" s="3" t="s">
        <v>123</v>
      </c>
      <c r="K35" s="94"/>
      <c r="L35" s="94"/>
      <c r="M35" s="94"/>
      <c r="N35" s="94"/>
      <c r="O35" s="37"/>
      <c r="P35" s="16"/>
      <c r="Q35" s="16"/>
      <c r="R35" s="16"/>
    </row>
    <row r="36" spans="1:18" ht="15.75">
      <c r="A36" s="7" t="s">
        <v>124</v>
      </c>
      <c r="B36" s="8"/>
      <c r="C36" s="8"/>
      <c r="D36" s="8"/>
      <c r="E36" s="8"/>
      <c r="F36" s="53">
        <f>+F13*(F13*93.6+(1-F13)*62.4)</f>
        <v>24.82272</v>
      </c>
      <c r="H36" s="3" t="s">
        <v>125</v>
      </c>
      <c r="J36" s="93"/>
      <c r="K36" s="93"/>
      <c r="L36" s="93"/>
      <c r="M36" s="93"/>
      <c r="N36" s="93"/>
      <c r="O36" s="37"/>
      <c r="P36" s="16"/>
      <c r="Q36" s="16"/>
      <c r="R36" s="16"/>
    </row>
    <row r="37" spans="1:18">
      <c r="A37" s="122" t="str">
        <f>+IF(F35=F36,"Densidad de materia seca estimada controlada por la densidad máxima alcanzable.","")</f>
        <v/>
      </c>
      <c r="J37" s="104">
        <f>(+F28*0.0155 + 8.5)*(0.818+0.0136*F24)</f>
        <v>15.114727216417275</v>
      </c>
      <c r="K37" s="93"/>
      <c r="L37" s="93"/>
      <c r="M37" s="93"/>
      <c r="N37" s="93"/>
      <c r="O37" s="37"/>
      <c r="P37" s="16"/>
      <c r="Q37" s="16"/>
      <c r="R37" s="16"/>
    </row>
    <row r="38" spans="1:18">
      <c r="J38" s="92"/>
      <c r="K38" s="92"/>
      <c r="L38" s="92"/>
      <c r="M38" s="92"/>
      <c r="N38" s="92"/>
      <c r="O38" s="37"/>
    </row>
    <row r="39" spans="1:18">
      <c r="H39" s="37"/>
      <c r="J39" s="113">
        <f>+(F3-F9)/2/F7</f>
        <v>3</v>
      </c>
      <c r="K39" s="92"/>
      <c r="L39" s="92"/>
      <c r="M39" s="92"/>
      <c r="N39" s="92"/>
      <c r="O39" s="37"/>
    </row>
  </sheetData>
  <conditionalFormatting sqref="F4">
    <cfRule type="expression" dxfId="29" priority="17" stopIfTrue="1">
      <formula>OR('Espanol (English Units)'!#REF!="n", 'Espanol (English Units)'!#REF!="no")</formula>
    </cfRule>
  </conditionalFormatting>
  <conditionalFormatting sqref="F3">
    <cfRule type="expression" dxfId="28" priority="7" stopIfTrue="1">
      <formula>F1="Si"</formula>
    </cfRule>
    <cfRule type="expression" dxfId="27" priority="8" stopIfTrue="1">
      <formula>F1="No"</formula>
    </cfRule>
    <cfRule type="expression" dxfId="26" priority="9" stopIfTrue="1">
      <formula>F1="Si"</formula>
    </cfRule>
    <cfRule type="expression" dxfId="25" priority="10" stopIfTrue="1">
      <formula>F1="No"</formula>
    </cfRule>
    <cfRule type="expression" dxfId="24" priority="18" stopIfTrue="1">
      <formula>'Espanol (English Units)'!#REF!="Yes"</formula>
    </cfRule>
  </conditionalFormatting>
  <conditionalFormatting sqref="F3">
    <cfRule type="expression" dxfId="23" priority="16" stopIfTrue="1">
      <formula>F1="Yes"</formula>
    </cfRule>
  </conditionalFormatting>
  <conditionalFormatting sqref="F3:F4">
    <cfRule type="expression" dxfId="22" priority="15" stopIfTrue="1">
      <formula>OR(F1048576="n", F1048576="no")</formula>
    </cfRule>
  </conditionalFormatting>
  <conditionalFormatting sqref="F3">
    <cfRule type="expression" dxfId="21" priority="14" stopIfTrue="1">
      <formula>F1="Yes"</formula>
    </cfRule>
  </conditionalFormatting>
  <conditionalFormatting sqref="F3">
    <cfRule type="expression" dxfId="20" priority="13" stopIfTrue="1">
      <formula>F1="Yes"</formula>
    </cfRule>
  </conditionalFormatting>
  <conditionalFormatting sqref="F3">
    <cfRule type="expression" dxfId="19" priority="12" stopIfTrue="1">
      <formula>OR('Espanol (English Units)'!#REF!="n", 'Espanol (English Units)'!#REF!="no")</formula>
    </cfRule>
  </conditionalFormatting>
  <conditionalFormatting sqref="B5">
    <cfRule type="expression" dxfId="18" priority="6">
      <formula xml:space="preserve"> F1 = "Si"</formula>
    </cfRule>
  </conditionalFormatting>
  <conditionalFormatting sqref="C5">
    <cfRule type="expression" dxfId="17" priority="5">
      <formula xml:space="preserve"> F1 = "Si"</formula>
    </cfRule>
  </conditionalFormatting>
  <conditionalFormatting sqref="D5">
    <cfRule type="expression" dxfId="16" priority="4">
      <formula xml:space="preserve"> F1 = "Si"</formula>
    </cfRule>
  </conditionalFormatting>
  <conditionalFormatting sqref="A5">
    <cfRule type="expression" dxfId="15" priority="3">
      <formula xml:space="preserve"> F1 = "Si"</formula>
    </cfRule>
  </conditionalFormatting>
  <conditionalFormatting sqref="E5">
    <cfRule type="expression" dxfId="14" priority="2">
      <formula xml:space="preserve"> F1 = "Si"</formula>
    </cfRule>
  </conditionalFormatting>
  <conditionalFormatting sqref="F5">
    <cfRule type="expression" dxfId="13" priority="1">
      <formula xml:space="preserve"> F1 = "Si"</formula>
    </cfRule>
  </conditionalFormatting>
  <dataValidations count="1">
    <dataValidation type="list" allowBlank="1" showInputMessage="1" showErrorMessage="1" error="Click the Arrow to get a choice of Yes or No" prompt="Click on Arrow for choices" sqref="F1">
      <formula1>"No, Si"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75" workbookViewId="0">
      <selection activeCell="C7" sqref="C7"/>
    </sheetView>
  </sheetViews>
  <sheetFormatPr defaultRowHeight="15"/>
  <cols>
    <col min="1" max="1" width="17.140625" style="39" customWidth="1"/>
    <col min="2" max="2" width="99.85546875" style="39" customWidth="1"/>
    <col min="3" max="3" width="12.140625" style="19" customWidth="1"/>
    <col min="4" max="4" width="13.140625" style="18" customWidth="1"/>
    <col min="5" max="6" width="10.7109375" style="18" customWidth="1"/>
    <col min="7" max="7" width="24.28515625" style="18" customWidth="1"/>
    <col min="8" max="9" width="9.85546875" style="18" bestFit="1" customWidth="1"/>
    <col min="10" max="10" width="9.28515625" style="18" bestFit="1" customWidth="1"/>
    <col min="11" max="11" width="14.28515625" style="18" customWidth="1"/>
    <col min="12" max="12" width="12.140625" style="18" customWidth="1"/>
    <col min="13" max="16384" width="9.140625" style="18"/>
  </cols>
  <sheetData>
    <row r="1" spans="1:19" ht="18.75">
      <c r="A1" s="144" t="s">
        <v>58</v>
      </c>
      <c r="B1" s="144"/>
      <c r="C1" s="144"/>
      <c r="D1" s="144"/>
      <c r="E1" s="144"/>
      <c r="F1" s="144"/>
      <c r="G1" s="144"/>
      <c r="H1" s="144"/>
    </row>
    <row r="2" spans="1:19" ht="19.5">
      <c r="A2" s="145" t="s">
        <v>15</v>
      </c>
      <c r="B2" s="146"/>
      <c r="C2" s="146"/>
      <c r="D2" s="146"/>
      <c r="E2" s="146"/>
      <c r="F2" s="146"/>
      <c r="G2" s="146"/>
      <c r="H2" s="146"/>
    </row>
    <row r="3" spans="1:19" ht="19.5">
      <c r="A3" s="145" t="s">
        <v>64</v>
      </c>
      <c r="B3" s="146"/>
      <c r="C3" s="146"/>
      <c r="D3" s="146"/>
      <c r="E3" s="146"/>
      <c r="F3" s="146"/>
      <c r="G3" s="146"/>
      <c r="H3" s="146"/>
    </row>
    <row r="4" spans="1:19" ht="18">
      <c r="A4" s="146" t="s">
        <v>136</v>
      </c>
      <c r="B4" s="146"/>
      <c r="C4" s="146"/>
      <c r="D4" s="146"/>
      <c r="E4" s="146"/>
      <c r="F4" s="146"/>
      <c r="G4" s="146"/>
      <c r="H4" s="146"/>
    </row>
    <row r="5" spans="1:19" ht="15.75" thickBot="1">
      <c r="A5" s="147"/>
      <c r="B5" s="147"/>
      <c r="C5" s="147"/>
      <c r="D5" s="147"/>
      <c r="E5" s="147"/>
      <c r="F5" s="147"/>
      <c r="G5" s="147"/>
      <c r="H5" s="147"/>
    </row>
    <row r="6" spans="1:19" ht="15.75" thickBot="1">
      <c r="C6" s="142" t="s">
        <v>1</v>
      </c>
      <c r="D6" s="143"/>
      <c r="G6" s="42"/>
    </row>
    <row r="7" spans="1:19" ht="15.75" thickBot="1">
      <c r="A7" s="69" t="s">
        <v>2</v>
      </c>
      <c r="B7" s="123" t="s">
        <v>65</v>
      </c>
      <c r="C7" s="110" t="s">
        <v>53</v>
      </c>
      <c r="D7" s="111">
        <v>7.4</v>
      </c>
      <c r="E7" s="46"/>
    </row>
    <row r="8" spans="1:19" ht="18">
      <c r="A8" s="18"/>
      <c r="B8" s="120" t="str">
        <f>+IF(C7="No","Ancho de la Base (metros ) ="," ")</f>
        <v>Ancho de la Base (metros ) =</v>
      </c>
      <c r="C8" s="119">
        <v>53</v>
      </c>
      <c r="D8" s="24"/>
      <c r="E8" s="20"/>
      <c r="G8" s="24"/>
    </row>
    <row r="9" spans="1:19" ht="18.75">
      <c r="B9" s="151" t="str">
        <f>+IF(C7="Si","Ancho de la base (metros)="," ")</f>
        <v xml:space="preserve"> </v>
      </c>
      <c r="C9" s="152" t="str">
        <f>+IF($C$7="No", " ",($C$13+2*$C$12*$C$11))</f>
        <v xml:space="preserve"> </v>
      </c>
      <c r="L9" s="139">
        <f>+C13</f>
        <v>33</v>
      </c>
    </row>
    <row r="11" spans="1:19" ht="18.75" thickBot="1">
      <c r="A11" s="18"/>
      <c r="B11" s="61" t="s">
        <v>59</v>
      </c>
      <c r="C11" s="73">
        <v>3.3</v>
      </c>
      <c r="G11" s="24"/>
      <c r="H11" s="23"/>
    </row>
    <row r="12" spans="1:19" ht="19.5" thickBot="1">
      <c r="A12" s="69" t="s">
        <v>63</v>
      </c>
      <c r="B12" s="153" t="s">
        <v>138</v>
      </c>
      <c r="C12" s="121">
        <f>+IF(C7="Si",D7,H22)</f>
        <v>3.0303030303030303</v>
      </c>
      <c r="H12" s="23"/>
      <c r="I12" s="138">
        <f>+C11</f>
        <v>3.3</v>
      </c>
    </row>
    <row r="13" spans="1:19" ht="18">
      <c r="B13" s="61" t="s">
        <v>83</v>
      </c>
      <c r="C13" s="74">
        <v>33</v>
      </c>
      <c r="H13" s="23"/>
    </row>
    <row r="14" spans="1:19" s="24" customFormat="1" ht="18">
      <c r="A14" s="39"/>
      <c r="B14" s="60" t="s">
        <v>60</v>
      </c>
      <c r="C14" s="75">
        <v>120</v>
      </c>
      <c r="D14" s="20" t="s">
        <v>3</v>
      </c>
      <c r="E14" s="18"/>
      <c r="F14" s="18"/>
      <c r="G14" s="30"/>
      <c r="H14" s="29"/>
      <c r="I14" s="18"/>
      <c r="J14" s="18"/>
      <c r="K14" s="18"/>
      <c r="L14" s="18"/>
      <c r="M14" s="18"/>
      <c r="N14" s="18"/>
      <c r="P14" s="18"/>
      <c r="Q14" s="18"/>
      <c r="R14" s="18"/>
      <c r="S14" s="18"/>
    </row>
    <row r="15" spans="1:19" ht="19.5">
      <c r="B15" s="60" t="s">
        <v>61</v>
      </c>
      <c r="C15" s="76">
        <v>0.34</v>
      </c>
      <c r="D15" s="20" t="s">
        <v>4</v>
      </c>
      <c r="G15" s="91" t="str">
        <f>IF(C15&gt;1,"C13 debe ser menor a 1"," ")</f>
        <v xml:space="preserve"> </v>
      </c>
      <c r="H15" s="23"/>
      <c r="O15" s="118">
        <f>+C12</f>
        <v>3.0303030303030303</v>
      </c>
    </row>
    <row r="16" spans="1:19" ht="20.25" thickBot="1">
      <c r="B16" s="60" t="s">
        <v>62</v>
      </c>
      <c r="C16" s="77">
        <v>15</v>
      </c>
      <c r="D16" s="20" t="s">
        <v>5</v>
      </c>
      <c r="F16" s="28"/>
      <c r="G16" s="91" t="str">
        <f>IF(C16&gt;60,"Considere lograr una capa mas delgada", " ")</f>
        <v xml:space="preserve"> </v>
      </c>
      <c r="H16" s="59"/>
      <c r="I16" s="30"/>
      <c r="J16" s="30"/>
      <c r="K16" s="30"/>
      <c r="L16" s="134">
        <f>+IF($C$7="No", $C$8,($C$13+2*$C$12*$C$11))</f>
        <v>53</v>
      </c>
      <c r="M16" s="30"/>
      <c r="N16" s="30"/>
    </row>
    <row r="17" spans="1:19" ht="30.75" thickBot="1">
      <c r="A17" s="69" t="s">
        <v>6</v>
      </c>
      <c r="B17" s="60" t="s">
        <v>86</v>
      </c>
      <c r="C17" s="21" t="s">
        <v>7</v>
      </c>
      <c r="D17" s="22" t="s">
        <v>8</v>
      </c>
      <c r="F17" s="30"/>
      <c r="G17" s="30"/>
      <c r="H17" s="30"/>
      <c r="I17" s="30"/>
      <c r="J17" s="30"/>
      <c r="K17" s="30"/>
      <c r="L17" s="30"/>
      <c r="M17" s="30"/>
      <c r="N17" s="30"/>
    </row>
    <row r="18" spans="1:19" ht="19.5">
      <c r="B18" s="60" t="s">
        <v>21</v>
      </c>
      <c r="C18" s="70">
        <v>18144</v>
      </c>
      <c r="D18" s="129">
        <v>100</v>
      </c>
      <c r="E18" s="113">
        <f>IF(C18&gt;0,D18,0)</f>
        <v>100</v>
      </c>
      <c r="F18" s="30"/>
      <c r="G18" s="128" t="str">
        <f>IF(AND(C18&gt;0,D18&lt;1), "Error en celda C16 ó D16", IF(AND(C18&lt;1,D18&gt;0),"Error en celda C16 ó D16"," "))</f>
        <v xml:space="preserve"> </v>
      </c>
      <c r="H18" s="30"/>
      <c r="I18" s="30"/>
      <c r="J18" s="30"/>
      <c r="K18" s="30"/>
      <c r="L18" s="30"/>
      <c r="M18" s="30"/>
      <c r="N18" s="30"/>
    </row>
    <row r="19" spans="1:19" ht="19.5">
      <c r="B19" s="60" t="s">
        <v>22</v>
      </c>
      <c r="C19" s="71">
        <v>18144</v>
      </c>
      <c r="D19" s="131">
        <v>100</v>
      </c>
      <c r="E19" s="113">
        <f t="shared" ref="E19:E21" si="0">IF(C19&gt;0,D19,0)</f>
        <v>100</v>
      </c>
      <c r="F19" s="30"/>
      <c r="G19" s="128" t="str">
        <f>IF(AND(C19&gt;0,D19&lt;1), "Error en celda C17 ó D17", IF(AND(C19&lt;1,D19&gt;0),"Error en celda C17 ó D17"," "))</f>
        <v xml:space="preserve"> </v>
      </c>
      <c r="H19" s="30"/>
      <c r="I19" s="30"/>
      <c r="J19" s="30"/>
      <c r="K19" s="30"/>
      <c r="L19" s="30"/>
      <c r="M19" s="30"/>
      <c r="N19" s="30"/>
    </row>
    <row r="20" spans="1:19" ht="19.5">
      <c r="B20" s="60" t="s">
        <v>23</v>
      </c>
      <c r="C20" s="71">
        <v>0</v>
      </c>
      <c r="D20" s="131">
        <v>0</v>
      </c>
      <c r="E20" s="113">
        <f t="shared" si="0"/>
        <v>0</v>
      </c>
      <c r="F20" s="30"/>
      <c r="G20" s="128" t="str">
        <f>IF(AND(C20&gt;0,D20&lt;1), "Error en celda C18 ó D18", IF(AND(C20&lt;1,D20&gt;0),"Error en celda C18 ó D18"," "))</f>
        <v xml:space="preserve"> </v>
      </c>
      <c r="H20" s="30"/>
      <c r="I20" s="30"/>
      <c r="J20" s="30"/>
      <c r="K20" s="30"/>
      <c r="L20" s="30"/>
      <c r="M20" s="30"/>
      <c r="N20" s="30"/>
    </row>
    <row r="21" spans="1:19" ht="20.25" thickBot="1">
      <c r="B21" s="60" t="s">
        <v>24</v>
      </c>
      <c r="C21" s="72">
        <v>0</v>
      </c>
      <c r="D21" s="130">
        <v>0</v>
      </c>
      <c r="E21" s="113">
        <f t="shared" si="0"/>
        <v>0</v>
      </c>
      <c r="F21" s="30"/>
      <c r="G21" s="128" t="str">
        <f>IF(AND(C21&gt;0,D21&lt;1), "Error en celda C19 ó D19", IF(AND(C21&lt;1,D21&gt;0),"Error en celda C19 ó D19"," "))</f>
        <v xml:space="preserve"> </v>
      </c>
      <c r="H21" s="30"/>
      <c r="I21" s="30"/>
      <c r="J21" s="30"/>
      <c r="K21" s="30"/>
      <c r="L21" s="30"/>
      <c r="M21" s="30"/>
      <c r="N21" s="30"/>
    </row>
    <row r="22" spans="1:19" ht="15.75" thickBot="1">
      <c r="A22" s="40"/>
      <c r="B22" s="62"/>
      <c r="C22" s="25"/>
      <c r="D22" s="26"/>
      <c r="E22" s="27"/>
      <c r="F22" s="30"/>
      <c r="G22" s="30"/>
      <c r="H22" s="116">
        <f>+(C8-C13)/2/C11</f>
        <v>3.0303030303030303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>
      <c r="A23" s="68" t="s">
        <v>9</v>
      </c>
      <c r="B23" s="60" t="s">
        <v>10</v>
      </c>
      <c r="C23" s="45">
        <f>+C18*D18/100+C19*D19/100+C20*D20/100+C21*D21/100</f>
        <v>36288</v>
      </c>
      <c r="D23" s="46"/>
      <c r="E23" s="46"/>
      <c r="F23" s="30"/>
      <c r="G23" s="30"/>
      <c r="H23" s="30"/>
      <c r="I23" s="99"/>
      <c r="J23" s="99"/>
      <c r="K23" s="99"/>
      <c r="L23" s="99"/>
      <c r="M23" s="99"/>
      <c r="N23" s="99"/>
      <c r="O23" s="100"/>
      <c r="P23" s="100"/>
    </row>
    <row r="24" spans="1:19" ht="15.75" thickBot="1">
      <c r="A24" s="67" t="s">
        <v>11</v>
      </c>
      <c r="B24" s="60" t="s">
        <v>12</v>
      </c>
      <c r="C24" s="124">
        <f>+C11*(C13+C11*C12)/(C13+2*C11*C12)</f>
        <v>2.6773584905660379</v>
      </c>
      <c r="D24" s="30"/>
      <c r="E24" s="46"/>
      <c r="F24" s="30"/>
      <c r="G24" s="30"/>
      <c r="H24" s="30"/>
      <c r="I24" s="99"/>
      <c r="J24" s="99"/>
      <c r="K24" s="99"/>
      <c r="L24" s="99"/>
      <c r="M24" s="99"/>
      <c r="N24" s="99"/>
      <c r="O24" s="100"/>
      <c r="P24" s="100"/>
    </row>
    <row r="25" spans="1:19" ht="15.75" thickBot="1">
      <c r="B25" s="63"/>
      <c r="C25" s="31"/>
      <c r="D25" s="46"/>
      <c r="E25" s="30"/>
      <c r="F25" s="30"/>
      <c r="G25" s="30"/>
      <c r="H25" s="30"/>
      <c r="I25" s="99"/>
      <c r="J25" s="99"/>
      <c r="K25" s="99"/>
      <c r="L25" s="99"/>
      <c r="M25" s="99"/>
      <c r="N25" s="99"/>
      <c r="O25" s="100"/>
      <c r="P25" s="100"/>
    </row>
    <row r="26" spans="1:19" ht="15.75" thickBot="1">
      <c r="A26" s="41" t="s">
        <v>13</v>
      </c>
      <c r="B26" s="125" t="s">
        <v>14</v>
      </c>
      <c r="C26" s="132">
        <f>+(($C$18*$E$18+$C$19*$E$19+$C$20*$E$20+$C$21*$E$21)/IF(SUM($E$18:$E$21),SUM($E$18:$E$21),1)/$C$16)*($C$15*10*SUM($E$18:$E$21)/$C$14)^0.5</f>
        <v>2879.4239423884774</v>
      </c>
      <c r="D26" s="30"/>
      <c r="E26" s="30"/>
      <c r="F26" s="30"/>
      <c r="G26" s="30"/>
      <c r="H26" s="30"/>
      <c r="I26" s="99"/>
      <c r="J26" s="99"/>
      <c r="K26" s="99"/>
      <c r="L26" s="99"/>
      <c r="M26" s="99"/>
      <c r="N26" s="99"/>
      <c r="O26" s="100"/>
      <c r="P26" s="100"/>
    </row>
    <row r="27" spans="1:19" ht="19.5">
      <c r="B27" s="64" t="s">
        <v>87</v>
      </c>
      <c r="C27" s="53">
        <f>C32/C15</f>
        <v>709.22195601206386</v>
      </c>
      <c r="D27" s="65" t="s">
        <v>90</v>
      </c>
      <c r="E27" s="30"/>
      <c r="F27" s="30"/>
      <c r="G27" s="30"/>
      <c r="H27" s="30"/>
      <c r="I27" s="99"/>
      <c r="J27" s="99"/>
      <c r="K27" s="99"/>
      <c r="L27" s="99"/>
      <c r="M27" s="99"/>
      <c r="N27" s="99"/>
      <c r="O27" s="100"/>
      <c r="P27" s="100"/>
    </row>
    <row r="28" spans="1:19" ht="16.5">
      <c r="B28" s="64" t="s">
        <v>88</v>
      </c>
      <c r="C28" s="53">
        <f>C15*1499.47 +(1-C15)*999.65</f>
        <v>1169.5888</v>
      </c>
      <c r="D28" s="65" t="s">
        <v>91</v>
      </c>
      <c r="E28" s="30"/>
      <c r="F28" s="30"/>
      <c r="G28" s="30"/>
      <c r="H28" s="30"/>
      <c r="I28" s="99"/>
      <c r="J28" s="101"/>
      <c r="K28" s="93"/>
      <c r="L28" s="93"/>
      <c r="M28" s="93"/>
      <c r="N28" s="93"/>
      <c r="O28" s="100"/>
      <c r="P28" s="100"/>
    </row>
    <row r="29" spans="1:19">
      <c r="B29" s="1"/>
      <c r="C29" s="1"/>
      <c r="D29" s="1"/>
      <c r="E29" s="30"/>
      <c r="F29" s="30"/>
      <c r="G29" s="30"/>
      <c r="H29" s="30"/>
      <c r="I29" s="99"/>
      <c r="J29" s="93"/>
      <c r="K29" s="102"/>
      <c r="L29" s="102"/>
      <c r="M29" s="102"/>
      <c r="N29" s="102"/>
      <c r="O29" s="100"/>
      <c r="P29" s="100"/>
    </row>
    <row r="30" spans="1:19" ht="16.5">
      <c r="B30" s="64" t="s">
        <v>89</v>
      </c>
      <c r="C30" s="54">
        <f>1-(C27/C28)</f>
        <v>0.39361427194577803</v>
      </c>
      <c r="D30" s="66" t="s">
        <v>92</v>
      </c>
      <c r="E30" s="30"/>
      <c r="F30" s="30"/>
      <c r="G30" s="30"/>
      <c r="H30" s="30"/>
      <c r="I30" s="99"/>
      <c r="J30" s="102"/>
      <c r="K30" s="102"/>
      <c r="L30" s="102"/>
      <c r="M30" s="102"/>
      <c r="O30" s="100"/>
      <c r="P30" s="100"/>
    </row>
    <row r="31" spans="1:19">
      <c r="E31" s="30"/>
      <c r="F31" s="30"/>
      <c r="G31" s="30"/>
      <c r="H31" s="30"/>
      <c r="I31" s="99"/>
      <c r="J31" s="102"/>
      <c r="K31" s="102"/>
      <c r="L31" s="102"/>
      <c r="M31" s="102"/>
      <c r="N31" s="102"/>
      <c r="O31" s="100"/>
      <c r="P31" s="100"/>
    </row>
    <row r="32" spans="1:19" ht="18">
      <c r="B32" s="125" t="s">
        <v>84</v>
      </c>
      <c r="C32" s="140">
        <f>+IF(C33&lt;J37,C33,J37)</f>
        <v>241.13546504410172</v>
      </c>
      <c r="D32" s="32" t="s">
        <v>81</v>
      </c>
      <c r="E32" s="30"/>
      <c r="F32" s="30"/>
      <c r="G32" s="30"/>
      <c r="H32" s="30"/>
      <c r="I32" s="99"/>
      <c r="J32" s="102"/>
      <c r="K32" s="102"/>
      <c r="L32" s="102"/>
      <c r="M32" s="102"/>
      <c r="N32" s="102"/>
      <c r="O32" s="100"/>
      <c r="P32" s="100"/>
    </row>
    <row r="33" spans="2:16" ht="18">
      <c r="B33" s="125" t="s">
        <v>85</v>
      </c>
      <c r="C33" s="141">
        <f>C15*(C15*1500 + (1-C15)*1000)</f>
        <v>397.8</v>
      </c>
      <c r="D33" s="32" t="s">
        <v>82</v>
      </c>
      <c r="E33" s="30"/>
      <c r="F33" s="30"/>
      <c r="G33" s="30"/>
      <c r="H33" s="30"/>
      <c r="I33" s="99"/>
      <c r="J33" s="102"/>
      <c r="K33" s="102"/>
      <c r="L33" s="102"/>
      <c r="M33" s="102"/>
      <c r="N33" s="102"/>
      <c r="O33" s="100"/>
      <c r="P33" s="100"/>
    </row>
    <row r="34" spans="2:16">
      <c r="B34" s="122" t="str">
        <f>+IF(C32=C33,"Densidad de materia seca estimada controlada por la densidad máxima alcanzable.","")</f>
        <v/>
      </c>
      <c r="E34" s="30"/>
      <c r="F34" s="30"/>
      <c r="G34" s="30"/>
      <c r="H34" s="30"/>
      <c r="I34" s="99"/>
      <c r="J34" s="99"/>
      <c r="K34" s="99"/>
      <c r="L34" s="99"/>
      <c r="M34" s="99"/>
      <c r="N34" s="99"/>
      <c r="O34" s="100"/>
      <c r="P34" s="100"/>
    </row>
    <row r="35" spans="2:16">
      <c r="E35" s="30"/>
      <c r="F35" s="30"/>
      <c r="G35" s="30"/>
      <c r="H35" s="30"/>
      <c r="I35" s="99"/>
      <c r="K35" s="99"/>
      <c r="L35" s="99"/>
      <c r="M35" s="99"/>
      <c r="N35" s="99"/>
      <c r="O35" s="100"/>
      <c r="P35" s="100"/>
    </row>
    <row r="36" spans="2:16">
      <c r="C36" s="57"/>
      <c r="D36" s="58"/>
      <c r="E36" s="58"/>
      <c r="F36" s="58"/>
      <c r="G36" s="58"/>
      <c r="H36" s="30"/>
      <c r="I36" s="99"/>
      <c r="J36" s="99"/>
      <c r="K36" s="99"/>
      <c r="L36" s="99"/>
      <c r="M36" s="99"/>
      <c r="N36" s="99"/>
      <c r="O36" s="100"/>
      <c r="P36" s="100"/>
    </row>
    <row r="37" spans="2:16">
      <c r="C37" s="57"/>
      <c r="D37" s="58"/>
      <c r="E37" s="58"/>
      <c r="F37" s="58"/>
      <c r="G37" s="58"/>
      <c r="H37" s="30"/>
      <c r="I37" s="99"/>
      <c r="J37" s="105">
        <f>(C26*0.042+136.3)*(0.818+0.0446*C24)</f>
        <v>241.13546504410172</v>
      </c>
      <c r="K37" s="99"/>
      <c r="L37" s="99"/>
      <c r="M37" s="99"/>
      <c r="N37" s="99"/>
      <c r="O37" s="100"/>
      <c r="P37" s="100"/>
    </row>
    <row r="38" spans="2:16">
      <c r="I38" s="100"/>
      <c r="J38" s="100"/>
      <c r="K38" s="100"/>
      <c r="L38" s="100"/>
      <c r="M38" s="100"/>
      <c r="N38" s="100"/>
      <c r="O38" s="100"/>
      <c r="P38" s="100"/>
    </row>
    <row r="39" spans="2:16">
      <c r="I39" s="100"/>
      <c r="J39" s="100"/>
      <c r="K39" s="100"/>
      <c r="L39" s="100"/>
      <c r="M39" s="100"/>
      <c r="N39" s="100"/>
      <c r="O39" s="100"/>
      <c r="P39" s="100"/>
    </row>
    <row r="40" spans="2:16">
      <c r="I40" s="100"/>
      <c r="J40" s="100"/>
      <c r="K40" s="100"/>
      <c r="L40" s="100"/>
      <c r="M40" s="100"/>
      <c r="N40" s="100"/>
      <c r="O40" s="100"/>
      <c r="P40" s="100"/>
    </row>
    <row r="41" spans="2:16">
      <c r="I41" s="100"/>
      <c r="J41" s="100"/>
      <c r="K41" s="100"/>
      <c r="L41" s="100"/>
      <c r="M41" s="100"/>
      <c r="N41" s="100"/>
      <c r="O41" s="100"/>
      <c r="P41" s="100"/>
    </row>
    <row r="42" spans="2:16">
      <c r="I42" s="100"/>
      <c r="J42" s="100"/>
      <c r="K42" s="100"/>
      <c r="L42" s="100"/>
      <c r="M42" s="100"/>
      <c r="N42" s="100"/>
      <c r="O42" s="100"/>
      <c r="P42" s="100"/>
    </row>
    <row r="43" spans="2:16">
      <c r="I43" s="100"/>
      <c r="J43" s="100"/>
      <c r="K43" s="100"/>
      <c r="L43" s="100"/>
      <c r="M43" s="100"/>
      <c r="N43" s="100"/>
      <c r="O43" s="100"/>
      <c r="P43" s="100"/>
    </row>
    <row r="44" spans="2:16">
      <c r="I44" s="100"/>
      <c r="J44" s="100"/>
      <c r="K44" s="100"/>
      <c r="L44" s="100"/>
      <c r="M44" s="100"/>
      <c r="N44" s="100"/>
      <c r="O44" s="100"/>
      <c r="P44" s="100"/>
    </row>
    <row r="45" spans="2:16">
      <c r="I45" s="100"/>
      <c r="J45" s="100"/>
      <c r="K45" s="100"/>
      <c r="L45" s="100"/>
      <c r="M45" s="100"/>
      <c r="N45" s="100"/>
      <c r="O45" s="100"/>
      <c r="P45" s="100"/>
    </row>
  </sheetData>
  <sheetProtection sheet="1" objects="1" scenarios="1"/>
  <mergeCells count="6">
    <mergeCell ref="C6:D6"/>
    <mergeCell ref="A1:H1"/>
    <mergeCell ref="A2:H2"/>
    <mergeCell ref="A3:H3"/>
    <mergeCell ref="A5:H5"/>
    <mergeCell ref="A4:H4"/>
  </mergeCells>
  <phoneticPr fontId="0" type="noConversion"/>
  <conditionalFormatting sqref="D7">
    <cfRule type="expression" dxfId="12" priority="4" stopIfTrue="1">
      <formula>OR(C7="n", C7="no")</formula>
    </cfRule>
  </conditionalFormatting>
  <conditionalFormatting sqref="C8">
    <cfRule type="expression" dxfId="11" priority="5" stopIfTrue="1">
      <formula>C7="Si"</formula>
    </cfRule>
  </conditionalFormatting>
  <conditionalFormatting sqref="C11">
    <cfRule type="expression" dxfId="10" priority="7" stopIfTrue="1">
      <formula>C8="Si"</formula>
    </cfRule>
  </conditionalFormatting>
  <conditionalFormatting sqref="B9">
    <cfRule type="expression" dxfId="9" priority="3">
      <formula xml:space="preserve"> C7 = "Si"</formula>
    </cfRule>
  </conditionalFormatting>
  <conditionalFormatting sqref="C9">
    <cfRule type="expression" dxfId="8" priority="2">
      <formula xml:space="preserve"> C7 = "Si"</formula>
    </cfRule>
  </conditionalFormatting>
  <dataValidations xWindow="1044" yWindow="378" count="1">
    <dataValidation type="list" allowBlank="1" showInputMessage="1" showErrorMessage="1" error="Haga clic en la flecha para 'Si' o 'No'" prompt="Haga clic en la flecha para opciones" sqref="C7">
      <formula1>"No, Si"</formula1>
    </dataValidation>
  </dataValidations>
  <printOptions horizontalCentered="1"/>
  <pageMargins left="0.25" right="0.25" top="0.5" bottom="0.25" header="0.5" footer="0.5"/>
  <pageSetup scale="86" orientation="landscape" horizontalDpi="204" verticalDpi="196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English Units</vt:lpstr>
      <vt:lpstr>English (Metric Units)</vt:lpstr>
      <vt:lpstr>Espanol (English Units)</vt:lpstr>
      <vt:lpstr>Español - (unidades métricas)</vt:lpstr>
    </vt:vector>
  </TitlesOfParts>
  <Company>Biological Systems Engineering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Silage Density in Bunker Silo</dc:title>
  <dc:creator>Brian J. Holmes</dc:creator>
  <cp:lastModifiedBy>Brian Holmes</cp:lastModifiedBy>
  <cp:lastPrinted>2006-02-01T02:50:26Z</cp:lastPrinted>
  <dcterms:created xsi:type="dcterms:W3CDTF">1999-04-02T15:53:20Z</dcterms:created>
  <dcterms:modified xsi:type="dcterms:W3CDTF">2020-05-13T19:01:00Z</dcterms:modified>
</cp:coreProperties>
</file>