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20490" windowHeight="7755"/>
  </bookViews>
  <sheets>
    <sheet name="English Units" sheetId="1" r:id="rId1"/>
    <sheet name="Metric Units" sheetId="2" r:id="rId2"/>
    <sheet name="Portugues" sheetId="4" r:id="rId3"/>
    <sheet name="Español" sheetId="5" r:id="rId4"/>
  </sheets>
  <definedNames>
    <definedName name="_xlnm.Print_Area" localSheetId="0">'English Units'!$A$1:$E$59</definedName>
  </definedNames>
  <calcPr calcId="145621"/>
</workbook>
</file>

<file path=xl/calcChain.xml><?xml version="1.0" encoding="utf-8"?>
<calcChain xmlns="http://schemas.openxmlformats.org/spreadsheetml/2006/main">
  <c r="T45" i="5" l="1"/>
  <c r="S45" i="5"/>
  <c r="R45" i="5"/>
  <c r="Q45" i="5"/>
  <c r="T44" i="5"/>
  <c r="S44" i="5"/>
  <c r="R44" i="5"/>
  <c r="Q44" i="5"/>
  <c r="T43" i="5"/>
  <c r="S43" i="5"/>
  <c r="R43" i="5"/>
  <c r="Q43" i="5"/>
  <c r="T42" i="5"/>
  <c r="S42" i="5"/>
  <c r="R42" i="5"/>
  <c r="Q42" i="5"/>
  <c r="T41" i="5"/>
  <c r="S41" i="5"/>
  <c r="R41" i="5"/>
  <c r="Q41" i="5"/>
  <c r="T36" i="5"/>
  <c r="S36" i="5"/>
  <c r="R36" i="5"/>
  <c r="Q36" i="5"/>
  <c r="T34" i="5"/>
  <c r="S34" i="5"/>
  <c r="R34" i="5"/>
  <c r="Q34" i="5"/>
  <c r="T33" i="5"/>
  <c r="S33" i="5"/>
  <c r="R33" i="5"/>
  <c r="Q33" i="5"/>
  <c r="T32" i="5"/>
  <c r="S32" i="5"/>
  <c r="R32" i="5"/>
  <c r="Q32" i="5"/>
  <c r="T29" i="5"/>
  <c r="S29" i="5"/>
  <c r="R29" i="5"/>
  <c r="Q29" i="5"/>
  <c r="T27" i="5"/>
  <c r="S27" i="5"/>
  <c r="R27" i="5"/>
  <c r="Q27" i="5"/>
  <c r="T25" i="5"/>
  <c r="S25" i="5"/>
  <c r="R25" i="5"/>
  <c r="Q25" i="5"/>
  <c r="T23" i="5"/>
  <c r="S23" i="5"/>
  <c r="R23" i="5"/>
  <c r="Q23" i="5"/>
  <c r="T22" i="5"/>
  <c r="S22" i="5"/>
  <c r="R22" i="5"/>
  <c r="Q22" i="5"/>
  <c r="T21" i="5"/>
  <c r="S21" i="5"/>
  <c r="R21" i="5"/>
  <c r="Q21" i="5"/>
  <c r="T20" i="5"/>
  <c r="T50" i="5" s="1"/>
  <c r="S20" i="5"/>
  <c r="S50" i="5" s="1"/>
  <c r="R20" i="5"/>
  <c r="R50" i="5" s="1"/>
  <c r="Q20" i="5"/>
  <c r="Q50" i="5" s="1"/>
  <c r="K47" i="5"/>
  <c r="K36" i="5"/>
  <c r="K31" i="5"/>
  <c r="K29" i="5"/>
  <c r="K27" i="5"/>
  <c r="K25" i="5"/>
  <c r="K38" i="5" s="1"/>
  <c r="K19" i="5"/>
  <c r="L53" i="5" l="1"/>
  <c r="L52" i="5"/>
  <c r="P69" i="4" l="1"/>
  <c r="F19" i="4" l="1"/>
  <c r="F18" i="4"/>
  <c r="E76" i="4" l="1"/>
  <c r="E54" i="4" s="1"/>
  <c r="I74" i="4"/>
  <c r="G73" i="4"/>
  <c r="E72" i="4"/>
  <c r="E52" i="4"/>
  <c r="L53" i="4" s="1"/>
  <c r="K47" i="4"/>
  <c r="T45" i="4"/>
  <c r="S45" i="4"/>
  <c r="R45" i="4"/>
  <c r="Q45" i="4"/>
  <c r="T44" i="4"/>
  <c r="S44" i="4"/>
  <c r="R44" i="4"/>
  <c r="Q44" i="4"/>
  <c r="T43" i="4"/>
  <c r="S43" i="4"/>
  <c r="R43" i="4"/>
  <c r="Q43" i="4"/>
  <c r="T42" i="4"/>
  <c r="S42" i="4"/>
  <c r="R42" i="4"/>
  <c r="Q42" i="4"/>
  <c r="T41" i="4"/>
  <c r="S41" i="4"/>
  <c r="R41" i="4"/>
  <c r="Q41" i="4"/>
  <c r="T36" i="4"/>
  <c r="S36" i="4"/>
  <c r="R36" i="4"/>
  <c r="Q36" i="4"/>
  <c r="K36" i="4"/>
  <c r="T34" i="4"/>
  <c r="S34" i="4"/>
  <c r="R34" i="4"/>
  <c r="Q34" i="4"/>
  <c r="T33" i="4"/>
  <c r="S33" i="4"/>
  <c r="R33" i="4"/>
  <c r="Q33" i="4"/>
  <c r="T32" i="4"/>
  <c r="S32" i="4"/>
  <c r="R32" i="4"/>
  <c r="Q32" i="4"/>
  <c r="K31" i="4"/>
  <c r="T29" i="4"/>
  <c r="S29" i="4"/>
  <c r="R29" i="4"/>
  <c r="Q29" i="4"/>
  <c r="K29" i="4"/>
  <c r="T27" i="4"/>
  <c r="S27" i="4"/>
  <c r="R27" i="4"/>
  <c r="Q27" i="4"/>
  <c r="K27" i="4"/>
  <c r="T25" i="4"/>
  <c r="S25" i="4"/>
  <c r="R25" i="4"/>
  <c r="Q25" i="4"/>
  <c r="K25" i="4"/>
  <c r="T23" i="4"/>
  <c r="S23" i="4"/>
  <c r="R23" i="4"/>
  <c r="Q23" i="4"/>
  <c r="T22" i="4"/>
  <c r="S22" i="4"/>
  <c r="R22" i="4"/>
  <c r="Q22" i="4"/>
  <c r="T21" i="4"/>
  <c r="S21" i="4"/>
  <c r="R21" i="4"/>
  <c r="Q21" i="4"/>
  <c r="T20" i="4"/>
  <c r="S20" i="4"/>
  <c r="R20" i="4"/>
  <c r="Q20" i="4"/>
  <c r="G20" i="4"/>
  <c r="A20" i="4"/>
  <c r="K19" i="4"/>
  <c r="E18" i="4"/>
  <c r="E73" i="4" s="1"/>
  <c r="E74" i="4" s="1"/>
  <c r="E75" i="4" s="1"/>
  <c r="S50" i="4" l="1"/>
  <c r="T50" i="4"/>
  <c r="K38" i="4"/>
  <c r="R50" i="4"/>
  <c r="Q50" i="4"/>
  <c r="E56" i="4"/>
  <c r="E58" i="4" s="1"/>
  <c r="E62" i="4" s="1"/>
  <c r="E50" i="4"/>
  <c r="M65" i="4" s="1"/>
  <c r="E48" i="4"/>
  <c r="M83" i="4" s="1"/>
  <c r="L52" i="4"/>
  <c r="E76" i="5"/>
  <c r="H75" i="5"/>
  <c r="G74" i="5"/>
  <c r="E72" i="5"/>
  <c r="O69" i="5"/>
  <c r="E54" i="5"/>
  <c r="E52" i="5"/>
  <c r="G20" i="5"/>
  <c r="A20" i="5"/>
  <c r="F19" i="5"/>
  <c r="F18" i="5"/>
  <c r="E18" i="5"/>
  <c r="E56" i="5" s="1"/>
  <c r="E60" i="4" l="1"/>
  <c r="E58" i="5"/>
  <c r="E62" i="5" s="1"/>
  <c r="E60" i="5"/>
  <c r="E73" i="5"/>
  <c r="E74" i="5" s="1"/>
  <c r="E75" i="5" s="1"/>
  <c r="E50" i="5" l="1"/>
  <c r="L65" i="5" s="1"/>
  <c r="E48" i="5"/>
  <c r="L83" i="5" s="1"/>
  <c r="E52" i="2" l="1"/>
  <c r="L52" i="2" s="1"/>
  <c r="G74" i="2" l="1"/>
  <c r="H75" i="2" s="1"/>
  <c r="R27" i="2"/>
  <c r="Q27" i="2"/>
  <c r="T27" i="1"/>
  <c r="S27" i="1"/>
  <c r="R27" i="1"/>
  <c r="Q27" i="1"/>
  <c r="T27" i="2"/>
  <c r="S27" i="2"/>
  <c r="E76" i="2"/>
  <c r="E54" i="2" s="1"/>
  <c r="A20" i="1"/>
  <c r="A20" i="2"/>
  <c r="E72" i="2"/>
  <c r="O69" i="2"/>
  <c r="K47" i="2"/>
  <c r="T45" i="2"/>
  <c r="S45" i="2"/>
  <c r="R45" i="2"/>
  <c r="Q45" i="2"/>
  <c r="T44" i="2"/>
  <c r="S44" i="2"/>
  <c r="R44" i="2"/>
  <c r="Q44" i="2"/>
  <c r="T43" i="2"/>
  <c r="S43" i="2"/>
  <c r="R43" i="2"/>
  <c r="Q43" i="2"/>
  <c r="T42" i="2"/>
  <c r="S42" i="2"/>
  <c r="R42" i="2"/>
  <c r="Q42" i="2"/>
  <c r="T41" i="2"/>
  <c r="S41" i="2"/>
  <c r="R41" i="2"/>
  <c r="Q41" i="2"/>
  <c r="T36" i="2"/>
  <c r="S36" i="2"/>
  <c r="R36" i="2"/>
  <c r="Q36" i="2"/>
  <c r="K36" i="2"/>
  <c r="T34" i="2"/>
  <c r="S34" i="2"/>
  <c r="R34" i="2"/>
  <c r="Q34" i="2"/>
  <c r="T33" i="2"/>
  <c r="S33" i="2"/>
  <c r="R33" i="2"/>
  <c r="Q33" i="2"/>
  <c r="T32" i="2"/>
  <c r="S32" i="2"/>
  <c r="R32" i="2"/>
  <c r="Q32" i="2"/>
  <c r="K31" i="2"/>
  <c r="T29" i="2"/>
  <c r="S29" i="2"/>
  <c r="R29" i="2"/>
  <c r="Q29" i="2"/>
  <c r="K29" i="2"/>
  <c r="K27" i="2"/>
  <c r="T25" i="2"/>
  <c r="S25" i="2"/>
  <c r="R25" i="2"/>
  <c r="Q25" i="2"/>
  <c r="K25" i="2"/>
  <c r="T23" i="2"/>
  <c r="S23" i="2"/>
  <c r="R23" i="2"/>
  <c r="Q23" i="2"/>
  <c r="T22" i="2"/>
  <c r="S22" i="2"/>
  <c r="R22" i="2"/>
  <c r="Q22" i="2"/>
  <c r="T21" i="2"/>
  <c r="S21" i="2"/>
  <c r="R21" i="2"/>
  <c r="Q21" i="2"/>
  <c r="T20" i="2"/>
  <c r="S20" i="2"/>
  <c r="R20" i="2"/>
  <c r="Q20" i="2"/>
  <c r="G20" i="2"/>
  <c r="K19" i="2"/>
  <c r="K38" i="2" s="1"/>
  <c r="F19" i="2"/>
  <c r="F18" i="2"/>
  <c r="E18" i="2"/>
  <c r="E56" i="2" s="1"/>
  <c r="S50" i="2" l="1"/>
  <c r="T50" i="2"/>
  <c r="Q50" i="2"/>
  <c r="R50" i="2"/>
  <c r="L53" i="2"/>
  <c r="E58" i="2"/>
  <c r="E62" i="2" s="1"/>
  <c r="E60" i="2"/>
  <c r="E73" i="2"/>
  <c r="O69" i="1"/>
  <c r="T45" i="1"/>
  <c r="S45" i="1"/>
  <c r="R45" i="1"/>
  <c r="T44" i="1"/>
  <c r="S44" i="1"/>
  <c r="R44" i="1"/>
  <c r="T43" i="1"/>
  <c r="S43" i="1"/>
  <c r="R43" i="1"/>
  <c r="T42" i="1"/>
  <c r="S42" i="1"/>
  <c r="R42" i="1"/>
  <c r="T41" i="1"/>
  <c r="S41" i="1"/>
  <c r="R41" i="1"/>
  <c r="T36" i="1"/>
  <c r="S36" i="1"/>
  <c r="R36" i="1"/>
  <c r="T34" i="1"/>
  <c r="S34" i="1"/>
  <c r="R34" i="1"/>
  <c r="T33" i="1"/>
  <c r="S33" i="1"/>
  <c r="R33" i="1"/>
  <c r="T32" i="1"/>
  <c r="S32" i="1"/>
  <c r="R32" i="1"/>
  <c r="T29" i="1"/>
  <c r="S29" i="1"/>
  <c r="R29" i="1"/>
  <c r="T25" i="1"/>
  <c r="S25" i="1"/>
  <c r="R25" i="1"/>
  <c r="T23" i="1"/>
  <c r="S23" i="1"/>
  <c r="R23" i="1"/>
  <c r="T22" i="1"/>
  <c r="S22" i="1"/>
  <c r="R22" i="1"/>
  <c r="T21" i="1"/>
  <c r="S21" i="1"/>
  <c r="R21" i="1"/>
  <c r="T20" i="1"/>
  <c r="S20" i="1"/>
  <c r="S50" i="1" s="1"/>
  <c r="R20" i="1"/>
  <c r="Q45" i="1"/>
  <c r="Q44" i="1"/>
  <c r="Q43" i="1"/>
  <c r="Q42" i="1"/>
  <c r="Q41" i="1"/>
  <c r="Q36" i="1"/>
  <c r="Q34" i="1"/>
  <c r="Q33" i="1"/>
  <c r="Q32" i="1"/>
  <c r="Q29" i="1"/>
  <c r="Q25" i="1"/>
  <c r="Q23" i="1"/>
  <c r="Q22" i="1"/>
  <c r="Q21" i="1"/>
  <c r="Q20" i="1"/>
  <c r="F19" i="1"/>
  <c r="E52" i="1"/>
  <c r="L52" i="1" s="1"/>
  <c r="E76" i="1"/>
  <c r="E54" i="1" s="1"/>
  <c r="G73" i="1"/>
  <c r="I74" i="1" s="1"/>
  <c r="E72" i="1"/>
  <c r="K47" i="1"/>
  <c r="K36" i="1"/>
  <c r="K31" i="1"/>
  <c r="K29" i="1"/>
  <c r="K27" i="1"/>
  <c r="G20" i="1"/>
  <c r="K25" i="1"/>
  <c r="F18" i="1"/>
  <c r="E18" i="1"/>
  <c r="E56" i="1" s="1"/>
  <c r="K19" i="1"/>
  <c r="Q50" i="1" l="1"/>
  <c r="K38" i="1"/>
  <c r="R50" i="1"/>
  <c r="T50" i="1"/>
  <c r="L53" i="1"/>
  <c r="E74" i="2"/>
  <c r="E75" i="2" s="1"/>
  <c r="E50" i="2" s="1"/>
  <c r="L65" i="2" s="1"/>
  <c r="E73" i="1"/>
  <c r="E74" i="1" s="1"/>
  <c r="E75" i="1" s="1"/>
  <c r="E60" i="1"/>
  <c r="E58" i="1"/>
  <c r="E62" i="1" s="1"/>
  <c r="E48" i="1" l="1"/>
  <c r="M83" i="1" s="1"/>
  <c r="E50" i="1"/>
  <c r="M65" i="1" s="1"/>
  <c r="E48" i="2"/>
  <c r="M83" i="2" s="1"/>
</calcChain>
</file>

<file path=xl/sharedStrings.xml><?xml version="1.0" encoding="utf-8"?>
<sst xmlns="http://schemas.openxmlformats.org/spreadsheetml/2006/main" count="658" uniqueCount="283">
  <si>
    <t xml:space="preserve"> </t>
  </si>
  <si>
    <t>Refer to this publication for more detailed information on drive-over silage piles.</t>
  </si>
  <si>
    <t>Notes: Pile sizing calculations are based on "Drive-Over Silage Pile Construction", UWEX Publ. A3511.</t>
  </si>
  <si>
    <t xml:space="preserve">Date:  </t>
  </si>
  <si>
    <t>by: Kenneth Barnett</t>
  </si>
  <si>
    <t>Number</t>
  </si>
  <si>
    <t>Pile cross section Area</t>
  </si>
  <si>
    <t>values which may be of interest.</t>
  </si>
  <si>
    <t>=====================</t>
  </si>
  <si>
    <t xml:space="preserve">Your Farm Name: </t>
  </si>
  <si>
    <t>The spreadsheet assumes straight side slopes and either a flat top or a peaked top, no domed silage on the top.</t>
  </si>
  <si>
    <r>
      <t xml:space="preserve">Enter your values into cells with </t>
    </r>
    <r>
      <rPr>
        <sz val="10"/>
        <color indexed="58"/>
        <rFont val="Arial"/>
        <family val="2"/>
      </rPr>
      <t xml:space="preserve">yellow </t>
    </r>
    <r>
      <rPr>
        <sz val="10"/>
        <rFont val="Arial"/>
        <family val="2"/>
      </rPr>
      <t xml:space="preserve">background. Cells with blue background are intermediate </t>
    </r>
  </si>
  <si>
    <t>Cells with pink background are the pile dimensions for which you are solving.</t>
  </si>
  <si>
    <t>Ft</t>
  </si>
  <si>
    <t>==========================================</t>
  </si>
  <si>
    <t>Silage Pile Sizing Calculator</t>
  </si>
  <si>
    <t>m</t>
  </si>
  <si>
    <t xml:space="preserve">SILAGE DRY MATTER CALCULATOR </t>
  </si>
  <si>
    <t>=</t>
  </si>
  <si>
    <t>Hay1</t>
  </si>
  <si>
    <t>Hay2</t>
  </si>
  <si>
    <t>Hay3</t>
  </si>
  <si>
    <t>Corn</t>
  </si>
  <si>
    <t>Silage</t>
  </si>
  <si>
    <t>per</t>
  </si>
  <si>
    <t>Animal Group</t>
  </si>
  <si>
    <t>Group</t>
  </si>
  <si>
    <t>TOTAL</t>
  </si>
  <si>
    <t>--------  LBS DM/GROUP-DAY    ---------</t>
  </si>
  <si>
    <t>INPUT</t>
  </si>
  <si>
    <t>DRY</t>
  </si>
  <si>
    <t>=================================================================</t>
  </si>
  <si>
    <t>Transition</t>
  </si>
  <si>
    <t>Dry1</t>
  </si>
  <si>
    <t>Dry2</t>
  </si>
  <si>
    <t>My Silage</t>
  </si>
  <si>
    <t>Close-up</t>
  </si>
  <si>
    <t>select feed from displayed table</t>
  </si>
  <si>
    <t>Herd Daily Feed Need (Lbs DMI/Herd-Day)  =</t>
  </si>
  <si>
    <t>Maternity</t>
  </si>
  <si>
    <t>Fresh</t>
  </si>
  <si>
    <t>Storage Loss (%)                                      =</t>
  </si>
  <si>
    <t xml:space="preserve">           Fill through Storage</t>
  </si>
  <si>
    <t>Two-year-olds</t>
  </si>
  <si>
    <t>Feeding Loss (%)                                      =</t>
  </si>
  <si>
    <t>THREE YRS &amp; OLDER</t>
  </si>
  <si>
    <t xml:space="preserve">           Feed Removal through Refusal</t>
  </si>
  <si>
    <t>High Producers</t>
  </si>
  <si>
    <t>Medium Producers</t>
  </si>
  <si>
    <t>Low Producers</t>
  </si>
  <si>
    <t>Silage Moisture Content (%)                       =</t>
  </si>
  <si>
    <t>Sick Cows</t>
  </si>
  <si>
    <t>-</t>
  </si>
  <si>
    <t>Face Removal Rate (min. 6 In/Day)             =</t>
  </si>
  <si>
    <t>MATURE COWS</t>
  </si>
  <si>
    <t>HEIFERS</t>
  </si>
  <si>
    <t>3-5 months</t>
  </si>
  <si>
    <t>6-8 months</t>
  </si>
  <si>
    <t>9-12 months</t>
  </si>
  <si>
    <t>13-15 months</t>
  </si>
  <si>
    <t>16 months-freshening</t>
  </si>
  <si>
    <t>HERD TOTAL (Lbs DM/Herd/day)</t>
  </si>
  <si>
    <t>October, 2001  (updated by B. J. Holmes 9-2-15)</t>
  </si>
  <si>
    <t>Silage Wet Density (44 Lbs/cu ft)               =</t>
  </si>
  <si>
    <t>Silage Dry Matter Density (&gt; 14 lbs DM/cu ft preferred)</t>
  </si>
  <si>
    <t>Average pile width (ft)</t>
  </si>
  <si>
    <t xml:space="preserve"> Ft</t>
  </si>
  <si>
    <t>Pile Bottom Width (side-to-side) (Ft)</t>
  </si>
  <si>
    <t>Pile Top Width (Ft)</t>
  </si>
  <si>
    <t>Average Pile Length (Ft)</t>
  </si>
  <si>
    <t>Pile Top Length (Ft)</t>
  </si>
  <si>
    <t>Silage placed into pile (T DM)</t>
  </si>
  <si>
    <t>Silage placed into pile (T AF)</t>
  </si>
  <si>
    <t>(Value  &gt;3 is preferred.)</t>
  </si>
  <si>
    <r>
      <t>(Value  &gt;3 is preferred.)</t>
    </r>
    <r>
      <rPr>
        <sz val="10"/>
        <color indexed="10"/>
        <rFont val="Arial"/>
        <family val="2"/>
      </rPr>
      <t xml:space="preserve">          </t>
    </r>
  </si>
  <si>
    <t xml:space="preserve">(&lt; height removal equipment can reach)                        </t>
  </si>
  <si>
    <t xml:space="preserve">Volume of silage dry matter needed per day (cu ft/herd/day) </t>
  </si>
  <si>
    <t>Silage Consumed from Pile(T DM)</t>
  </si>
  <si>
    <t>Silage Consumed from Pile (T AF)</t>
  </si>
  <si>
    <t>Results</t>
  </si>
  <si>
    <t>--------  LBS DM / ANIMAL-DAY    ---------</t>
  </si>
  <si>
    <t>==========================================================================================</t>
  </si>
  <si>
    <t>Pile Bottom Length (end-to-end) (Ft)</t>
  </si>
  <si>
    <t>==========================================================================================================</t>
  </si>
  <si>
    <t>Use this spreadsheet to calculate the size of a drive over silage pile when you know how  much feed will be fed to the herd</t>
  </si>
  <si>
    <t>Herd Daily Feed Need (Kg DMI/Herd-Day)  =</t>
  </si>
  <si>
    <t>Pile Bottom Width (side-to-side) (m)</t>
  </si>
  <si>
    <t>Pile Top Width (m)</t>
  </si>
  <si>
    <t>Pile Bottom Length (end-to-end) (m)</t>
  </si>
  <si>
    <t>Pile Top Length (m)</t>
  </si>
  <si>
    <t xml:space="preserve">Volume of silage dry matter needed per day (cu m/herd/day) </t>
  </si>
  <si>
    <t>Pile cross section Area (sq m)</t>
  </si>
  <si>
    <t>Average pile width (m)</t>
  </si>
  <si>
    <t>Average Pile Length (m)</t>
  </si>
  <si>
    <t>HERD TOTAL (Kg DM/Herd/day)</t>
  </si>
  <si>
    <t>--------  Kg DM / ANIMAL-DAY    ---------</t>
  </si>
  <si>
    <t>--------  Kg DM / GROUP-DAY    ---------</t>
  </si>
  <si>
    <t>Face Removal Rate (min. 0.15 m /Day)             =</t>
  </si>
  <si>
    <t>Feeding Period from pile (Days)</t>
  </si>
  <si>
    <t>Silage Consumed from Pile(tonnes DM)</t>
  </si>
  <si>
    <t>Silage Consumed from Pile (tonnes AF)</t>
  </si>
  <si>
    <t>Silage placed into pile (tonnes DM)</t>
  </si>
  <si>
    <t>Silage placed into pile (tonnes AF)</t>
  </si>
  <si>
    <t xml:space="preserve">  m</t>
  </si>
  <si>
    <t xml:space="preserve"> m</t>
  </si>
  <si>
    <t>por</t>
  </si>
  <si>
    <t>Grupo</t>
  </si>
  <si>
    <t>SECAS</t>
  </si>
  <si>
    <t>Secas1</t>
  </si>
  <si>
    <t>Secas2</t>
  </si>
  <si>
    <t>3-5 meses</t>
  </si>
  <si>
    <t>6-8 meses</t>
  </si>
  <si>
    <t>9-12 meses</t>
  </si>
  <si>
    <t>13-15 meses</t>
  </si>
  <si>
    <t xml:space="preserve">       Click on Cell E16 then down arrow </t>
  </si>
  <si>
    <t>UW Extension Educator (retired)</t>
  </si>
  <si>
    <t>Silage Wet Density (705 Kg AF/cu m)               =</t>
  </si>
  <si>
    <t>Forage Type:</t>
  </si>
  <si>
    <t>Horizontal Component of Pile Sidewall Slope (1' Rise to 3' Horizontal) =</t>
  </si>
  <si>
    <t xml:space="preserve">Horizontal Component of Pile Filling and Back End Slope  (1' Rise to 3' Horizontal) = </t>
  </si>
  <si>
    <t>Horizontal Component of Pile Sidewall Slope (1 m Rise to 3 m Horizontal) =</t>
  </si>
  <si>
    <t xml:space="preserve">Horizontal Component of Pile Filling and Back End Slope  (1 m Rise to 3 m Horizontal)  = </t>
  </si>
  <si>
    <t xml:space="preserve">Pile height at filling (meters)       =                 </t>
  </si>
  <si>
    <t xml:space="preserve">Pile height at filling (feet)      =                     </t>
  </si>
  <si>
    <r>
      <t>Use esta hoja para calcular el tama</t>
    </r>
    <r>
      <rPr>
        <sz val="10"/>
        <rFont val="Calibri"/>
        <family val="2"/>
      </rPr>
      <t>ñ</t>
    </r>
    <r>
      <rPr>
        <sz val="10"/>
        <rFont val="Arial"/>
        <family val="2"/>
      </rPr>
      <t>o de un silo de mont</t>
    </r>
    <r>
      <rPr>
        <sz val="10"/>
        <rFont val="Calibri"/>
        <family val="2"/>
      </rPr>
      <t>í</t>
    </r>
    <r>
      <rPr>
        <sz val="10"/>
        <rFont val="Arial"/>
        <family val="2"/>
      </rPr>
      <t xml:space="preserve">culo cuando se conoce cuanto alimento sera dado al hato </t>
    </r>
  </si>
  <si>
    <r>
      <t>cada dia de este mont</t>
    </r>
    <r>
      <rPr>
        <sz val="10"/>
        <rFont val="Calibri"/>
        <family val="2"/>
      </rPr>
      <t>í</t>
    </r>
    <r>
      <rPr>
        <sz val="10"/>
        <rFont val="Arial"/>
        <family val="2"/>
      </rPr>
      <t xml:space="preserve">culo. Si usted no sabe la cantidad de alimento que sera dado al hato, se anexa "un calculador de la Materia Seca del Ensilaje". </t>
    </r>
  </si>
  <si>
    <t>Por: Kenneth Barnett</t>
  </si>
  <si>
    <t xml:space="preserve">La hoja asume una pendiente recta a los lados y una terminacion plana o puntiaguda en la parte de arriba, pero no curvaturas en la parte de arriba del ensilaje. </t>
  </si>
  <si>
    <t>UW Extension Educator (retirado)</t>
  </si>
  <si>
    <t xml:space="preserve">Entrar los valores en las celdas en color amarillo. Celdas en color azul son valores intermedios </t>
  </si>
  <si>
    <t>October, 2001  (actualizado por B. J. Holmes 9-2-15)</t>
  </si>
  <si>
    <t>valores que pudieran ser de interes.</t>
  </si>
  <si>
    <t xml:space="preserve">Nombre de la granja: </t>
  </si>
  <si>
    <t xml:space="preserve">Fecha:  </t>
  </si>
  <si>
    <t>CALCULADOR DE LA MATERIA SECA DEL ENSILAJE  (los totales del hato de este Cuadro NO se pasan Automaticamente a la Necesidad de Alimento Diaria del Hato en la seccion de ENTRADA)</t>
  </si>
  <si>
    <t>Ensilaje de</t>
  </si>
  <si>
    <t>Ensilaje</t>
  </si>
  <si>
    <t>Nύmero</t>
  </si>
  <si>
    <t>alfalfa/pasto 1</t>
  </si>
  <si>
    <t>alfalfa/pasto 2</t>
  </si>
  <si>
    <t>alfalfa/pasto 3</t>
  </si>
  <si>
    <t>Maiz</t>
  </si>
  <si>
    <t>Tipo de Forraje:</t>
  </si>
  <si>
    <t>Mi Ensilaje</t>
  </si>
  <si>
    <t xml:space="preserve">       Darle Click en la Celda E16 luego la flecha hacia abajo </t>
  </si>
  <si>
    <t>Seleccionar el alimento en el cuadro que aparece</t>
  </si>
  <si>
    <t>Grupo Animal</t>
  </si>
  <si>
    <t>--------  Kg MS/ANIMAL-DIA    ---------</t>
  </si>
  <si>
    <t>--------  Kg MS/GRUPO-DIA    ---------</t>
  </si>
  <si>
    <t>Alimento diario necesario para el Hato (Kg Consumo MS/Hato-dia)  =</t>
  </si>
  <si>
    <t>En Transicion</t>
  </si>
  <si>
    <t>Perdidas de Almacenamiento (%)                                      =</t>
  </si>
  <si>
    <t xml:space="preserve">           Del llenado hasta el Almacenamiento</t>
  </si>
  <si>
    <t>Cercanas al Parto</t>
  </si>
  <si>
    <t>Perdidas al Momento de Alimentar  (%)                                      =</t>
  </si>
  <si>
    <t xml:space="preserve">          Del Alimento Removido del Silo hasta el Rechazo en el Comedero</t>
  </si>
  <si>
    <t>Maternidad</t>
  </si>
  <si>
    <t>Densidad Humeda del Ensilaje (705 Kg a como es Alimentado/m cubico)               =</t>
  </si>
  <si>
    <t>Frescas</t>
  </si>
  <si>
    <t>Contenido de Humedad del Ensilaje (%)                       =</t>
  </si>
  <si>
    <t>Dos Años de Edad</t>
  </si>
  <si>
    <t>Porcentage Removido de la Cara (min. 0.15 m /Day)             =</t>
  </si>
  <si>
    <t>Tres Años o Mas</t>
  </si>
  <si>
    <t>Altas Productoras</t>
  </si>
  <si>
    <r>
      <t>Periodo Estimado de Duracion del Alimento del Mont</t>
    </r>
    <r>
      <rPr>
        <sz val="10"/>
        <rFont val="Calibri"/>
        <family val="2"/>
      </rPr>
      <t>í</t>
    </r>
    <r>
      <rPr>
        <sz val="10"/>
        <rFont val="Arial"/>
        <family val="2"/>
      </rPr>
      <t>culo (Dias)</t>
    </r>
  </si>
  <si>
    <t>Productoras Medias</t>
  </si>
  <si>
    <t>Baja Productoras</t>
  </si>
  <si>
    <r>
      <t>Pendiente de la Pared Lateral Horizontal del Mont</t>
    </r>
    <r>
      <rPr>
        <sz val="10"/>
        <rFont val="Calibri"/>
        <family val="2"/>
      </rPr>
      <t>í</t>
    </r>
    <r>
      <rPr>
        <sz val="10"/>
        <rFont val="Arial"/>
        <family val="2"/>
      </rPr>
      <t>culo (1 m de Alto for 3 m Horizontales)     =</t>
    </r>
  </si>
  <si>
    <t>(Valor  &gt;3 es deseado.)</t>
  </si>
  <si>
    <t>Vacas Enfermas</t>
  </si>
  <si>
    <t>VACAS MADURAS</t>
  </si>
  <si>
    <r>
      <t>(Valor  &gt;3 es deseado.)</t>
    </r>
    <r>
      <rPr>
        <sz val="10"/>
        <color indexed="10"/>
        <rFont val="Arial"/>
        <family val="2"/>
      </rPr>
      <t xml:space="preserve">          </t>
    </r>
  </si>
  <si>
    <t>VAQUILLAS</t>
  </si>
  <si>
    <r>
      <t>Altura del Mont</t>
    </r>
    <r>
      <rPr>
        <sz val="10"/>
        <rFont val="Calibri"/>
        <family val="2"/>
      </rPr>
      <t>í</t>
    </r>
    <r>
      <rPr>
        <sz val="10"/>
        <rFont val="Arial"/>
        <family val="2"/>
      </rPr>
      <t xml:space="preserve">culo al llenado (metros)  =                      </t>
    </r>
  </si>
  <si>
    <t xml:space="preserve">(&lt; altura que el equipo de remocion pueda alcanzar)                        </t>
  </si>
  <si>
    <t>16 meses-frescas</t>
  </si>
  <si>
    <t>Resultados</t>
  </si>
  <si>
    <t>Ancho del Montículo en la Base (lado a lado) (m)</t>
  </si>
  <si>
    <t>Ancho del Montículo en la Parte Alta (m)</t>
  </si>
  <si>
    <t>TOTAL del HATO (Kg MS/hato/dia)</t>
  </si>
  <si>
    <t>Largo del Montículo en la Base (extremo a extremo) (m)</t>
  </si>
  <si>
    <r>
      <t>Largo de la Altura del Mont</t>
    </r>
    <r>
      <rPr>
        <b/>
        <sz val="12"/>
        <rFont val="Calibri"/>
        <family val="2"/>
      </rPr>
      <t>í</t>
    </r>
    <r>
      <rPr>
        <b/>
        <sz val="12"/>
        <rFont val="Arial"/>
        <family val="2"/>
      </rPr>
      <t>culo (m)</t>
    </r>
  </si>
  <si>
    <r>
      <t>Ensilaje Consumido del Mont</t>
    </r>
    <r>
      <rPr>
        <b/>
        <sz val="12"/>
        <rFont val="Calibri"/>
        <family val="2"/>
      </rPr>
      <t>í</t>
    </r>
    <r>
      <rPr>
        <b/>
        <sz val="12"/>
        <rFont val="Arial"/>
        <family val="2"/>
      </rPr>
      <t>culo (tonnes MS)</t>
    </r>
  </si>
  <si>
    <r>
      <t>Ensilaje Consumido del Mont</t>
    </r>
    <r>
      <rPr>
        <b/>
        <sz val="12"/>
        <rFont val="Calibri"/>
        <family val="2"/>
      </rPr>
      <t>í</t>
    </r>
    <r>
      <rPr>
        <b/>
        <sz val="12"/>
        <rFont val="Arial"/>
        <family val="2"/>
      </rPr>
      <t>culo (tonnes Como se Ofrece)</t>
    </r>
  </si>
  <si>
    <r>
      <t>Ensilaje colocado en el Mont</t>
    </r>
    <r>
      <rPr>
        <b/>
        <sz val="12"/>
        <rFont val="Calibri"/>
        <family val="2"/>
      </rPr>
      <t>í</t>
    </r>
    <r>
      <rPr>
        <b/>
        <sz val="12"/>
        <rFont val="Arial"/>
        <family val="2"/>
      </rPr>
      <t>culo (tonnes MS)</t>
    </r>
  </si>
  <si>
    <r>
      <t>Ensilaje Colocado en el Mont</t>
    </r>
    <r>
      <rPr>
        <b/>
        <sz val="12"/>
        <rFont val="Calibri"/>
        <family val="2"/>
      </rPr>
      <t>í</t>
    </r>
    <r>
      <rPr>
        <b/>
        <sz val="12"/>
        <rFont val="Arial"/>
        <family val="2"/>
      </rPr>
      <t>culo (tonnes En Fresco)</t>
    </r>
  </si>
  <si>
    <t xml:space="preserve">Cantidad de ensilaje en base a materia seca necesario por dia (m3/hato/dia) </t>
  </si>
  <si>
    <t>Ancho promedio del Montículo (m)</t>
  </si>
  <si>
    <t>Largo promedio del Montículo (m)</t>
  </si>
  <si>
    <t>por: Kenneth Barnett</t>
  </si>
  <si>
    <t>Outubro, 2001  (atualizado por B. J. Holmes,  2015)</t>
  </si>
  <si>
    <t xml:space="preserve">Nome da Fazenda: </t>
  </si>
  <si>
    <t xml:space="preserve">Data:  </t>
  </si>
  <si>
    <t>ENTRADA DE DADOS</t>
  </si>
  <si>
    <r>
      <t>CÁLCULO DE MATÉRIA SECA DA SILAGEM</t>
    </r>
    <r>
      <rPr>
        <sz val="10"/>
        <rFont val="Arial"/>
        <family val="2"/>
      </rPr>
      <t xml:space="preserve"> (o total do rebanho NÃO é transferido automaticamente para o Requerimento Nutricional Diário do Rebanho na seção ENTRADA DE DADOS)</t>
    </r>
  </si>
  <si>
    <t>Silagem</t>
  </si>
  <si>
    <t>Número</t>
  </si>
  <si>
    <t>Forragem1</t>
  </si>
  <si>
    <t>Forragem2</t>
  </si>
  <si>
    <t>Forragem3</t>
  </si>
  <si>
    <t>Milho</t>
  </si>
  <si>
    <t>Tipo de Forragem:</t>
  </si>
  <si>
    <t xml:space="preserve">       Clique na célula E16; clique na flecha</t>
  </si>
  <si>
    <t>selecione o alimento disponível na tabela</t>
  </si>
  <si>
    <t>--------  Kg MS/ANIMAL-DIA    ------------------------------</t>
  </si>
  <si>
    <t>--------  Kg MS/GRUPO-DIA    ----------------------------</t>
  </si>
  <si>
    <t>Transição</t>
  </si>
  <si>
    <t>Perda na Estocagem (%)                                      =</t>
  </si>
  <si>
    <t>Pré-parto</t>
  </si>
  <si>
    <t>Perda no Fornecimento (%)                                      =</t>
  </si>
  <si>
    <t>Maternidade</t>
  </si>
  <si>
    <t>Densidade da Silagem Úmida (705 Kg/m3)               =</t>
  </si>
  <si>
    <t>Recém-Paridas</t>
  </si>
  <si>
    <t xml:space="preserve">Teor de Umidade da Silagem (%)          =            </t>
  </si>
  <si>
    <t>Dois anos de idade</t>
  </si>
  <si>
    <t>Três anos e Acima</t>
  </si>
  <si>
    <t>Alta Produção</t>
  </si>
  <si>
    <t>Média Produção</t>
  </si>
  <si>
    <t>Baixa Produção</t>
  </si>
  <si>
    <t>Animais doentes</t>
  </si>
  <si>
    <t>VACAS ADULTAS</t>
  </si>
  <si>
    <t>NOVILHAS</t>
  </si>
  <si>
    <t>16 meses e pré-parto</t>
  </si>
  <si>
    <t>RESULTADOS</t>
  </si>
  <si>
    <t>Largura da parte inferior do silo (lado-a-lado) (metros)</t>
  </si>
  <si>
    <t>Largura da parte superior do silo (metros)</t>
  </si>
  <si>
    <t>TOTAL REBANHO (Kg MS/rebanho/dia)</t>
  </si>
  <si>
    <t>Comprimento real da parte inferior do silo (ponta-a-ponta) (metros)</t>
  </si>
  <si>
    <t>Comprimento da parte superior do silo (metros)</t>
  </si>
  <si>
    <t>A planilha assume declives laterais retos e um topo plano ou em pico, não abaulado.</t>
  </si>
  <si>
    <t>Educador Extensionista aposentado - Wisconsin, EUA</t>
  </si>
  <si>
    <t>Sistema Métrico, 2015</t>
  </si>
  <si>
    <t>Células com fundo rosa contêm as dimensões do silo que está sendo calculado.</t>
  </si>
  <si>
    <t>Minha Silagem</t>
  </si>
  <si>
    <t>Matéria seca de silagem (kg) necessária a ser fornecida por dia</t>
  </si>
  <si>
    <t xml:space="preserve">           desde o Enchimento do silo até o final do período de Estocagem</t>
  </si>
  <si>
    <t xml:space="preserve">           desde a Remoção da silagem até o final do fornecimento, incluindo perdas por Rejeição</t>
  </si>
  <si>
    <t xml:space="preserve">Taxa de remoção diária (metros por dia)       =  </t>
  </si>
  <si>
    <t>(Valor deve ser maior que 0.15m/dia)</t>
  </si>
  <si>
    <t>Número de dias de fornecimento deste silo      =</t>
  </si>
  <si>
    <t xml:space="preserve">(Valor maior que 3 é preferível)          </t>
  </si>
  <si>
    <t xml:space="preserve">Altura do silo ao enchimento (metros)   =        </t>
  </si>
  <si>
    <t xml:space="preserve">(Menor que altura atingível pelo equipamento de remoção)                        </t>
  </si>
  <si>
    <t>Silagem (como fornecida) retirada do silo (toneladas)</t>
  </si>
  <si>
    <t>MS de silagem colocada no silo (toneladas)</t>
  </si>
  <si>
    <t>Silagem (como fornecida) colocada no silo (toneladas)</t>
  </si>
  <si>
    <r>
      <t xml:space="preserve">Obs: os cálculos de dimensionamento dos silos são baseados em </t>
    </r>
    <r>
      <rPr>
        <sz val="10"/>
        <color rgb="FFFF0000"/>
        <rFont val="Arial"/>
        <family val="2"/>
      </rPr>
      <t>"Drive-Over Silage Pile Construction", UWEX Publ. A3511.</t>
    </r>
  </si>
  <si>
    <t>Referir a essa publicação para informação mais detalhada sobre silos de superfície.</t>
  </si>
  <si>
    <t>Área de secção (corte) do silo (metros quadrados)</t>
  </si>
  <si>
    <t>Largura média do silo (metros)</t>
  </si>
  <si>
    <t>Comprimento médio do silo (metros)</t>
  </si>
  <si>
    <t>================================================</t>
  </si>
  <si>
    <t>========================================================</t>
  </si>
  <si>
    <t>================================================================</t>
  </si>
  <si>
    <t>===============================================================================</t>
  </si>
  <si>
    <t>Silage Dry Matter Density (&gt;224 Kg DM/cu m preferred)</t>
  </si>
  <si>
    <t>Densidad de la Materia seca del Ensilaje (de preferencia &gt;224 Kg MS/m cubico)</t>
  </si>
  <si>
    <t>MS da silagem retirada do silo (toneladas)</t>
  </si>
  <si>
    <t>Volume de MS de silagem necessária por dia (metros cúbicos/rebanho/dia)</t>
  </si>
  <si>
    <t>Densidade da Matéria Seca da silagem (maior que 224 kg MS/metro cúbico, de preferência)</t>
  </si>
  <si>
    <t>Use esta planilha para calcular o tamanho do silo de superficie quando se sabe o número de animais que serão alimentados e</t>
  </si>
  <si>
    <t xml:space="preserve">fornecemos aqui uma tabela de "Cálculo de Matéria Seca da Silagem". </t>
  </si>
  <si>
    <t>Insira seus valores nas células com fundo amarelo. Células com fundo azul são valores intermediários que podem ser interessantes.</t>
  </si>
  <si>
    <t xml:space="preserve">a quantidade de alimento deste silo que será fornecida por animal por dia. Caso não saiba a quantidade de alimento fornecida ao rebanho, </t>
  </si>
  <si>
    <t>Componente Horizontal do Declive da Face Lateral do Silo      =</t>
  </si>
  <si>
    <r>
      <t>(1m Vertical para 3m Horizontal. Valor maior que 3 é preferível)</t>
    </r>
    <r>
      <rPr>
        <sz val="10"/>
        <color indexed="10"/>
        <rFont val="Arial"/>
        <family val="2"/>
      </rPr>
      <t xml:space="preserve"> </t>
    </r>
  </si>
  <si>
    <t xml:space="preserve">Componente Horizontal do Declive das Pontas Dianteira e Traseira (1m Vertical x 3m Horizontal)   = </t>
  </si>
  <si>
    <t>Cálculo do Tamanho do Silo</t>
  </si>
  <si>
    <t>each day from this pile. If you do not know the quantity of feed fed to the herd, a "Silage Dry Matter Calculator" is provided.</t>
  </si>
  <si>
    <r>
      <t xml:space="preserve">each </t>
    </r>
    <r>
      <rPr>
        <sz val="10"/>
        <rFont val="Arial"/>
        <family val="2"/>
      </rPr>
      <t>day from this pile. If you do not know the quantity of feed fed to the herd, a "Silage Dry Matter Calculator" is provided.</t>
    </r>
  </si>
  <si>
    <r>
      <t>Como Calcular el Tama</t>
    </r>
    <r>
      <rPr>
        <b/>
        <sz val="14"/>
        <rFont val="Calibri"/>
        <family val="2"/>
      </rPr>
      <t>ñ</t>
    </r>
    <r>
      <rPr>
        <b/>
        <sz val="14"/>
        <rFont val="Arial"/>
        <family val="2"/>
      </rPr>
      <t>o de un Silo de Mont</t>
    </r>
    <r>
      <rPr>
        <b/>
        <sz val="14"/>
        <rFont val="Calibri"/>
        <family val="2"/>
      </rPr>
      <t>í</t>
    </r>
    <r>
      <rPr>
        <b/>
        <sz val="14"/>
        <rFont val="Arial"/>
        <family val="2"/>
      </rPr>
      <t>culo</t>
    </r>
  </si>
  <si>
    <r>
      <t>Notas: Calculos del tama</t>
    </r>
    <r>
      <rPr>
        <sz val="10"/>
        <rFont val="Calibri"/>
        <family val="2"/>
      </rPr>
      <t>ñ</t>
    </r>
    <r>
      <rPr>
        <sz val="10"/>
        <rFont val="Arial"/>
        <family val="2"/>
      </rPr>
      <t>o del Mont</t>
    </r>
    <r>
      <rPr>
        <sz val="10"/>
        <rFont val="Calibri"/>
        <family val="2"/>
      </rPr>
      <t>í</t>
    </r>
    <r>
      <rPr>
        <sz val="10"/>
        <rFont val="Arial"/>
        <family val="2"/>
      </rPr>
      <t>culo estan basados en la Publicacion UWEX Publ. A3511 "Manejando hacia la Construccion de un Silo de Mont</t>
    </r>
    <r>
      <rPr>
        <sz val="10"/>
        <rFont val="Calibri"/>
        <family val="2"/>
      </rPr>
      <t>í</t>
    </r>
    <r>
      <rPr>
        <sz val="10"/>
        <rFont val="Arial"/>
        <family val="2"/>
      </rPr>
      <t>culo", .</t>
    </r>
  </si>
  <si>
    <t>Revisar esta publicacion para una informacion mas detallada sobre manejando hacia ensilajes de Montículo.</t>
  </si>
  <si>
    <t>Area de una seccion del Montículo (m2)</t>
  </si>
  <si>
    <r>
      <t>ENTRADA de Informaci</t>
    </r>
    <r>
      <rPr>
        <b/>
        <sz val="14"/>
        <rFont val="Calibri"/>
        <family val="2"/>
      </rPr>
      <t>ó</t>
    </r>
    <r>
      <rPr>
        <b/>
        <sz val="14"/>
        <rFont val="Arial"/>
        <family val="2"/>
      </rPr>
      <t>n</t>
    </r>
  </si>
  <si>
    <r>
      <t>Celdas en color rosa son las dimensiones del silo de mont</t>
    </r>
    <r>
      <rPr>
        <sz val="10"/>
        <rFont val="Calibri"/>
        <family val="2"/>
      </rPr>
      <t>í</t>
    </r>
    <r>
      <rPr>
        <sz val="10"/>
        <rFont val="Arial"/>
        <family val="2"/>
      </rPr>
      <t>culo que usted esta buscando.</t>
    </r>
  </si>
  <si>
    <r>
      <t>Parte Horizontal entre el llenado del mont</t>
    </r>
    <r>
      <rPr>
        <sz val="10"/>
        <rFont val="Calibri"/>
        <family val="2"/>
      </rPr>
      <t>í</t>
    </r>
    <r>
      <rPr>
        <sz val="10"/>
        <rFont val="Arial"/>
        <family val="2"/>
      </rPr>
      <t xml:space="preserve">culo y la pendiente de la parte posterior  (1 m Altura a 3 m Horizontal)    = </t>
    </r>
  </si>
  <si>
    <t>==============================================</t>
  </si>
  <si>
    <r>
      <t xml:space="preserve">User input values are in </t>
    </r>
    <r>
      <rPr>
        <b/>
        <sz val="10"/>
        <color indexed="12"/>
        <rFont val="Helv"/>
      </rPr>
      <t>blue text</t>
    </r>
    <r>
      <rPr>
        <sz val="10"/>
        <rFont val="Arial"/>
        <family val="2"/>
      </rPr>
      <t xml:space="preserve"> with </t>
    </r>
    <r>
      <rPr>
        <b/>
        <sz val="10"/>
        <color rgb="FFFFFF00"/>
        <rFont val="Arial"/>
        <family val="2"/>
      </rPr>
      <t>yellow</t>
    </r>
    <r>
      <rPr>
        <sz val="10"/>
        <rFont val="Arial"/>
        <family val="2"/>
      </rPr>
      <t xml:space="preserve"> background</t>
    </r>
  </si>
  <si>
    <t>======================================================</t>
  </si>
  <si>
    <t>==============================================================================</t>
  </si>
  <si>
    <r>
      <t xml:space="preserve">Valores inseridos pelo usuário estão em </t>
    </r>
    <r>
      <rPr>
        <b/>
        <sz val="10"/>
        <color indexed="12"/>
        <rFont val="Helv"/>
      </rPr>
      <t>azul</t>
    </r>
    <r>
      <rPr>
        <sz val="10"/>
        <color indexed="12"/>
        <rFont val="Helv"/>
      </rPr>
      <t xml:space="preserve"> </t>
    </r>
    <r>
      <rPr>
        <sz val="10"/>
        <rFont val="Arial"/>
        <family val="2"/>
      </rPr>
      <t xml:space="preserve">com fundo </t>
    </r>
    <r>
      <rPr>
        <b/>
        <sz val="10"/>
        <color rgb="FFFFFF00"/>
        <rFont val="Arial"/>
        <family val="2"/>
      </rPr>
      <t>amarelo</t>
    </r>
  </si>
  <si>
    <r>
      <t xml:space="preserve">Entrada de valores del usuario estan en letras </t>
    </r>
    <r>
      <rPr>
        <b/>
        <sz val="10"/>
        <color rgb="FF0000FF"/>
        <rFont val="Arial"/>
        <family val="2"/>
      </rPr>
      <t>azules</t>
    </r>
    <r>
      <rPr>
        <sz val="10"/>
        <rFont val="Arial"/>
        <family val="2"/>
      </rPr>
      <t xml:space="preserve"> con fondo </t>
    </r>
    <r>
      <rPr>
        <b/>
        <sz val="10"/>
        <color rgb="FFFFFF00"/>
        <rFont val="Arial"/>
        <family val="2"/>
      </rPr>
      <t>amarillo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</si>
</sst>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_)"/>
    <numFmt numFmtId="166" formatCode="0_)"/>
    <numFmt numFmtId="167" formatCode="0.0_)"/>
    <numFmt numFmtId="168" formatCode="#,##0.0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6"/>
      <name val="Arial"/>
      <family val="2"/>
    </font>
    <font>
      <sz val="10"/>
      <color indexed="58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0"/>
      <name val="Helv"/>
    </font>
    <font>
      <sz val="10"/>
      <color indexed="12"/>
      <name val="Helv"/>
    </font>
    <font>
      <sz val="10"/>
      <color rgb="FF0000FF"/>
      <name val="Helv"/>
    </font>
    <font>
      <b/>
      <sz val="10"/>
      <color indexed="12"/>
      <name val="Helv"/>
    </font>
    <font>
      <sz val="8"/>
      <color theme="0"/>
      <name val="Verdana"/>
      <family val="2"/>
    </font>
    <font>
      <sz val="8"/>
      <color theme="0"/>
      <name val="Helv"/>
    </font>
    <font>
      <sz val="10"/>
      <color indexed="8"/>
      <name val="Helv"/>
    </font>
    <font>
      <sz val="10"/>
      <color theme="0"/>
      <name val="Helv"/>
    </font>
    <font>
      <b/>
      <sz val="10"/>
      <color theme="0"/>
      <name val="Verdana"/>
      <family val="2"/>
    </font>
    <font>
      <b/>
      <sz val="10"/>
      <color rgb="FFFF0000"/>
      <name val="Helv"/>
    </font>
    <font>
      <sz val="12"/>
      <name val="Arial"/>
      <family val="2"/>
    </font>
    <font>
      <sz val="10"/>
      <name val="Helv"/>
    </font>
    <font>
      <sz val="10"/>
      <color rgb="FFFF0000"/>
      <name val="Arial"/>
      <family val="2"/>
    </font>
    <font>
      <sz val="10"/>
      <name val="Calibri"/>
      <family val="2"/>
    </font>
    <font>
      <sz val="11"/>
      <color rgb="FF1F497D"/>
      <name val="Calibri"/>
      <family val="2"/>
    </font>
    <font>
      <b/>
      <sz val="12"/>
      <name val="Calibri"/>
      <family val="2"/>
    </font>
    <font>
      <sz val="10"/>
      <color rgb="FF0000FF"/>
      <name val="Arial"/>
      <family val="2"/>
    </font>
    <font>
      <b/>
      <sz val="14"/>
      <name val="Calibri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45066682943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4">
    <xf numFmtId="0" fontId="0" fillId="0" borderId="0" xfId="0"/>
    <xf numFmtId="164" fontId="0" fillId="0" borderId="0" xfId="0" applyNumberFormat="1"/>
    <xf numFmtId="0" fontId="2" fillId="0" borderId="0" xfId="0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left"/>
    </xf>
    <xf numFmtId="164" fontId="0" fillId="0" borderId="0" xfId="0" applyNumberFormat="1" applyFill="1"/>
    <xf numFmtId="0" fontId="2" fillId="0" borderId="0" xfId="0" applyNumberFormat="1" applyFont="1" applyAlignment="1">
      <alignment horizontal="left"/>
    </xf>
    <xf numFmtId="164" fontId="0" fillId="2" borderId="0" xfId="0" applyNumberFormat="1" applyFill="1" applyProtection="1">
      <protection locked="0"/>
    </xf>
    <xf numFmtId="164" fontId="3" fillId="2" borderId="0" xfId="0" applyNumberFormat="1" applyFont="1" applyFill="1" applyProtection="1">
      <protection locked="0"/>
    </xf>
    <xf numFmtId="1" fontId="0" fillId="3" borderId="0" xfId="0" applyNumberFormat="1" applyFill="1"/>
    <xf numFmtId="1" fontId="5" fillId="4" borderId="0" xfId="0" applyNumberFormat="1" applyFont="1" applyFill="1"/>
    <xf numFmtId="164" fontId="5" fillId="4" borderId="0" xfId="0" applyNumberFormat="1" applyFont="1" applyFill="1"/>
    <xf numFmtId="164" fontId="6" fillId="4" borderId="0" xfId="0" applyNumberFormat="1" applyFont="1" applyFill="1"/>
    <xf numFmtId="0" fontId="5" fillId="0" borderId="0" xfId="0" applyFont="1"/>
    <xf numFmtId="0" fontId="0" fillId="5" borderId="0" xfId="0" applyFill="1"/>
    <xf numFmtId="164" fontId="0" fillId="5" borderId="0" xfId="0" applyNumberFormat="1" applyFill="1"/>
    <xf numFmtId="0" fontId="7" fillId="0" borderId="0" xfId="0" applyFont="1"/>
    <xf numFmtId="0" fontId="2" fillId="0" borderId="0" xfId="0" quotePrefix="1" applyFont="1"/>
    <xf numFmtId="0" fontId="2" fillId="0" borderId="0" xfId="0" quotePrefix="1" applyFont="1" applyAlignment="1">
      <alignment horizontal="center"/>
    </xf>
    <xf numFmtId="164" fontId="0" fillId="0" borderId="0" xfId="0" applyNumberFormat="1" applyFill="1" applyProtection="1">
      <protection locked="0"/>
    </xf>
    <xf numFmtId="164" fontId="0" fillId="0" borderId="0" xfId="0" applyNumberFormat="1" applyProtection="1"/>
    <xf numFmtId="164" fontId="5" fillId="4" borderId="0" xfId="0" applyNumberFormat="1" applyFont="1" applyFill="1" applyAlignment="1">
      <alignment horizontal="center"/>
    </xf>
    <xf numFmtId="0" fontId="5" fillId="4" borderId="0" xfId="0" quotePrefix="1" applyFont="1" applyFill="1"/>
    <xf numFmtId="1" fontId="6" fillId="4" borderId="0" xfId="0" applyNumberFormat="1" applyFont="1" applyFill="1"/>
    <xf numFmtId="0" fontId="3" fillId="0" borderId="0" xfId="0" applyFont="1" applyFill="1"/>
    <xf numFmtId="0" fontId="10" fillId="0" borderId="0" xfId="0" applyFont="1" applyAlignment="1">
      <alignment horizontal="center"/>
    </xf>
    <xf numFmtId="0" fontId="1" fillId="0" borderId="0" xfId="0" applyFont="1"/>
    <xf numFmtId="165" fontId="0" fillId="0" borderId="0" xfId="0" applyNumberFormat="1" applyProtection="1"/>
    <xf numFmtId="0" fontId="11" fillId="6" borderId="0" xfId="0" applyFont="1" applyFill="1"/>
    <xf numFmtId="0" fontId="0" fillId="6" borderId="0" xfId="0" applyFill="1"/>
    <xf numFmtId="0" fontId="0" fillId="0" borderId="0" xfId="0" applyFill="1"/>
    <xf numFmtId="0" fontId="0" fillId="6" borderId="0" xfId="0" applyFill="1" applyAlignment="1">
      <alignment horizontal="fill"/>
    </xf>
    <xf numFmtId="166" fontId="0" fillId="4" borderId="0" xfId="0" applyNumberFormat="1" applyFill="1" applyProtection="1"/>
    <xf numFmtId="167" fontId="0" fillId="4" borderId="0" xfId="0" applyNumberFormat="1" applyFill="1" applyProtection="1"/>
    <xf numFmtId="165" fontId="0" fillId="4" borderId="0" xfId="0" applyNumberFormat="1" applyFill="1" applyProtection="1"/>
    <xf numFmtId="0" fontId="0" fillId="4" borderId="0" xfId="0" quotePrefix="1" applyFill="1" applyAlignment="1">
      <alignment horizontal="fill"/>
    </xf>
    <xf numFmtId="0" fontId="0" fillId="6" borderId="0" xfId="0" applyFill="1" applyAlignment="1">
      <alignment horizontal="right"/>
    </xf>
    <xf numFmtId="0" fontId="12" fillId="2" borderId="0" xfId="0" applyFont="1" applyFill="1" applyProtection="1">
      <protection locked="0"/>
    </xf>
    <xf numFmtId="0" fontId="12" fillId="6" borderId="0" xfId="0" applyFont="1" applyFill="1" applyProtection="1"/>
    <xf numFmtId="164" fontId="0" fillId="6" borderId="0" xfId="0" applyNumberFormat="1" applyFill="1"/>
    <xf numFmtId="0" fontId="0" fillId="4" borderId="0" xfId="0" applyFill="1"/>
    <xf numFmtId="166" fontId="0" fillId="7" borderId="0" xfId="0" applyNumberFormat="1" applyFill="1" applyProtection="1"/>
    <xf numFmtId="167" fontId="0" fillId="7" borderId="0" xfId="0" applyNumberFormat="1" applyFill="1" applyProtection="1"/>
    <xf numFmtId="165" fontId="0" fillId="4" borderId="0" xfId="0" applyNumberFormat="1" applyFill="1" applyAlignment="1" applyProtection="1">
      <alignment horizontal="fill"/>
    </xf>
    <xf numFmtId="166" fontId="0" fillId="7" borderId="0" xfId="0" applyNumberFormat="1" applyFill="1" applyAlignment="1" applyProtection="1">
      <alignment horizontal="fill"/>
    </xf>
    <xf numFmtId="166" fontId="0" fillId="4" borderId="0" xfId="0" applyNumberFormat="1" applyFill="1" applyAlignment="1" applyProtection="1">
      <alignment horizontal="fill"/>
    </xf>
    <xf numFmtId="167" fontId="0" fillId="4" borderId="0" xfId="0" applyNumberFormat="1" applyFill="1" applyAlignment="1" applyProtection="1">
      <alignment horizontal="fill"/>
    </xf>
    <xf numFmtId="0" fontId="0" fillId="0" borderId="0" xfId="0" applyAlignment="1">
      <alignment horizontal="fill"/>
    </xf>
    <xf numFmtId="167" fontId="14" fillId="8" borderId="1" xfId="0" applyNumberFormat="1" applyFont="1" applyFill="1" applyBorder="1" applyAlignment="1" applyProtection="1">
      <alignment horizontal="right"/>
      <protection locked="0"/>
    </xf>
    <xf numFmtId="167" fontId="0" fillId="9" borderId="0" xfId="0" applyNumberFormat="1" applyFill="1" applyProtection="1"/>
    <xf numFmtId="167" fontId="12" fillId="4" borderId="0" xfId="0" applyNumberFormat="1" applyFont="1" applyFill="1" applyProtection="1">
      <protection locked="0"/>
    </xf>
    <xf numFmtId="0" fontId="12" fillId="6" borderId="0" xfId="0" applyFont="1" applyFill="1" applyProtection="1">
      <protection locked="0"/>
    </xf>
    <xf numFmtId="168" fontId="0" fillId="7" borderId="1" xfId="0" applyNumberFormat="1" applyFont="1" applyFill="1" applyBorder="1" applyProtection="1"/>
    <xf numFmtId="167" fontId="0" fillId="10" borderId="0" xfId="0" applyNumberFormat="1" applyFill="1" applyProtection="1"/>
    <xf numFmtId="0" fontId="0" fillId="10" borderId="0" xfId="0" applyFill="1"/>
    <xf numFmtId="0" fontId="0" fillId="6" borderId="0" xfId="0" applyFill="1" applyProtection="1"/>
    <xf numFmtId="0" fontId="11" fillId="7" borderId="0" xfId="0" applyFont="1" applyFill="1"/>
    <xf numFmtId="0" fontId="0" fillId="7" borderId="0" xfId="0" applyFill="1"/>
    <xf numFmtId="168" fontId="13" fillId="8" borderId="0" xfId="0" applyNumberFormat="1" applyFont="1" applyFill="1" applyProtection="1">
      <protection locked="0"/>
    </xf>
    <xf numFmtId="0" fontId="11" fillId="0" borderId="0" xfId="0" applyFont="1"/>
    <xf numFmtId="167" fontId="12" fillId="2" borderId="0" xfId="0" applyNumberFormat="1" applyFont="1" applyFill="1" applyProtection="1">
      <protection locked="0"/>
    </xf>
    <xf numFmtId="0" fontId="15" fillId="0" borderId="0" xfId="0" applyFont="1" applyFill="1" applyBorder="1"/>
    <xf numFmtId="167" fontId="16" fillId="0" borderId="0" xfId="0" applyNumberFormat="1" applyFont="1" applyBorder="1"/>
    <xf numFmtId="0" fontId="0" fillId="6" borderId="0" xfId="0" applyFill="1" applyProtection="1">
      <protection locked="0"/>
    </xf>
    <xf numFmtId="0" fontId="16" fillId="0" borderId="0" xfId="0" applyFont="1" applyBorder="1"/>
    <xf numFmtId="2" fontId="16" fillId="0" borderId="0" xfId="0" applyNumberFormat="1" applyFont="1" applyFill="1" applyBorder="1"/>
    <xf numFmtId="0" fontId="15" fillId="0" borderId="0" xfId="0" applyFont="1" applyBorder="1"/>
    <xf numFmtId="0" fontId="17" fillId="6" borderId="0" xfId="0" applyFont="1" applyFill="1" applyProtection="1"/>
    <xf numFmtId="0" fontId="18" fillId="0" borderId="0" xfId="0" applyFont="1" applyFill="1" applyBorder="1"/>
    <xf numFmtId="0" fontId="18" fillId="0" borderId="0" xfId="0" applyFont="1" applyBorder="1"/>
    <xf numFmtId="0" fontId="0" fillId="6" borderId="0" xfId="0" applyFill="1" applyAlignment="1" applyProtection="1">
      <alignment horizontal="fill"/>
      <protection locked="0"/>
    </xf>
    <xf numFmtId="0" fontId="0" fillId="6" borderId="0" xfId="0" applyFill="1" applyAlignment="1" applyProtection="1">
      <alignment horizontal="fill"/>
    </xf>
    <xf numFmtId="2" fontId="19" fillId="0" borderId="0" xfId="0" applyNumberFormat="1" applyFont="1" applyFill="1" applyBorder="1"/>
    <xf numFmtId="0" fontId="0" fillId="0" borderId="0" xfId="0" applyBorder="1"/>
    <xf numFmtId="166" fontId="0" fillId="6" borderId="0" xfId="0" applyNumberFormat="1" applyFill="1" applyProtection="1"/>
    <xf numFmtId="0" fontId="0" fillId="4" borderId="0" xfId="0" applyFill="1" applyAlignment="1">
      <alignment horizontal="fill"/>
    </xf>
    <xf numFmtId="164" fontId="11" fillId="6" borderId="0" xfId="0" applyNumberFormat="1" applyFont="1" applyFill="1"/>
    <xf numFmtId="0" fontId="20" fillId="0" borderId="0" xfId="0" applyFont="1" applyFill="1" applyAlignment="1">
      <alignment horizontal="right"/>
    </xf>
    <xf numFmtId="0" fontId="0" fillId="0" borderId="0" xfId="0" applyFill="1" applyAlignment="1">
      <alignment horizontal="fill"/>
    </xf>
    <xf numFmtId="0" fontId="11" fillId="0" borderId="0" xfId="0" applyFont="1" applyFill="1" applyAlignment="1">
      <alignment horizontal="right"/>
    </xf>
    <xf numFmtId="166" fontId="11" fillId="0" borderId="0" xfId="0" applyNumberFormat="1" applyFont="1" applyFill="1" applyAlignment="1" applyProtection="1">
      <alignment horizontal="right"/>
    </xf>
    <xf numFmtId="167" fontId="11" fillId="0" borderId="0" xfId="0" applyNumberFormat="1" applyFont="1" applyFill="1" applyAlignment="1" applyProtection="1">
      <alignment horizontal="right"/>
    </xf>
    <xf numFmtId="165" fontId="11" fillId="0" borderId="0" xfId="0" applyNumberFormat="1" applyFont="1" applyFill="1" applyAlignment="1" applyProtection="1">
      <alignment horizontal="right"/>
    </xf>
    <xf numFmtId="0" fontId="3" fillId="4" borderId="0" xfId="0" applyFont="1" applyFill="1"/>
    <xf numFmtId="0" fontId="5" fillId="0" borderId="0" xfId="0" quotePrefix="1" applyFont="1" applyFill="1"/>
    <xf numFmtId="0" fontId="0" fillId="0" borderId="0" xfId="0" applyFill="1" applyProtection="1"/>
    <xf numFmtId="1" fontId="3" fillId="0" borderId="0" xfId="0" applyNumberFormat="1" applyFont="1" applyFill="1" applyProtection="1">
      <protection locked="0"/>
    </xf>
    <xf numFmtId="1" fontId="0" fillId="0" borderId="0" xfId="0" applyNumberFormat="1" applyFill="1"/>
    <xf numFmtId="164" fontId="0" fillId="11" borderId="0" xfId="0" applyNumberFormat="1" applyFill="1"/>
    <xf numFmtId="0" fontId="5" fillId="7" borderId="0" xfId="0" applyFont="1" applyFill="1"/>
    <xf numFmtId="164" fontId="5" fillId="7" borderId="0" xfId="0" applyNumberFormat="1" applyFont="1" applyFill="1"/>
    <xf numFmtId="0" fontId="3" fillId="7" borderId="0" xfId="0" applyFont="1" applyFill="1"/>
    <xf numFmtId="167" fontId="13" fillId="7" borderId="0" xfId="0" applyNumberFormat="1" applyFont="1" applyFill="1" applyProtection="1">
      <protection locked="0"/>
    </xf>
    <xf numFmtId="164" fontId="0" fillId="7" borderId="0" xfId="0" applyNumberFormat="1" applyFill="1" applyProtection="1">
      <protection locked="0"/>
    </xf>
    <xf numFmtId="164" fontId="0" fillId="7" borderId="0" xfId="0" applyNumberFormat="1" applyFill="1"/>
    <xf numFmtId="0" fontId="0" fillId="7" borderId="0" xfId="0" applyFill="1" applyAlignment="1">
      <alignment horizontal="fill"/>
    </xf>
    <xf numFmtId="165" fontId="0" fillId="7" borderId="0" xfId="0" applyNumberFormat="1" applyFill="1" applyAlignment="1" applyProtection="1">
      <alignment horizontal="fill"/>
    </xf>
    <xf numFmtId="164" fontId="3" fillId="7" borderId="0" xfId="0" applyNumberFormat="1" applyFont="1" applyFill="1" applyProtection="1">
      <protection locked="0"/>
    </xf>
    <xf numFmtId="164" fontId="3" fillId="7" borderId="0" xfId="0" applyNumberFormat="1" applyFont="1" applyFill="1"/>
    <xf numFmtId="167" fontId="0" fillId="7" borderId="0" xfId="0" applyNumberFormat="1" applyFill="1" applyAlignment="1" applyProtection="1">
      <alignment horizontal="fill"/>
    </xf>
    <xf numFmtId="167" fontId="11" fillId="7" borderId="0" xfId="0" applyNumberFormat="1" applyFont="1" applyFill="1" applyAlignment="1" applyProtection="1">
      <alignment horizontal="right"/>
    </xf>
    <xf numFmtId="3" fontId="5" fillId="7" borderId="0" xfId="0" applyNumberFormat="1" applyFont="1" applyFill="1"/>
    <xf numFmtId="0" fontId="9" fillId="4" borderId="0" xfId="0" applyFont="1" applyFill="1"/>
    <xf numFmtId="0" fontId="3" fillId="6" borderId="0" xfId="0" quotePrefix="1" applyFont="1" applyFill="1"/>
    <xf numFmtId="164" fontId="0" fillId="9" borderId="0" xfId="0" applyNumberFormat="1" applyFill="1"/>
    <xf numFmtId="0" fontId="3" fillId="5" borderId="0" xfId="0" applyFont="1" applyFill="1"/>
    <xf numFmtId="0" fontId="0" fillId="12" borderId="0" xfId="0" applyFill="1"/>
    <xf numFmtId="0" fontId="9" fillId="12" borderId="0" xfId="0" applyFont="1" applyFill="1"/>
    <xf numFmtId="164" fontId="0" fillId="12" borderId="0" xfId="0" applyNumberFormat="1" applyFill="1"/>
    <xf numFmtId="0" fontId="3" fillId="12" borderId="0" xfId="0" quotePrefix="1" applyFont="1" applyFill="1"/>
    <xf numFmtId="0" fontId="5" fillId="12" borderId="0" xfId="0" applyFont="1" applyFill="1"/>
    <xf numFmtId="164" fontId="5" fillId="12" borderId="0" xfId="0" applyNumberFormat="1" applyFont="1" applyFill="1"/>
    <xf numFmtId="164" fontId="6" fillId="12" borderId="0" xfId="0" applyNumberFormat="1" applyFont="1" applyFill="1"/>
    <xf numFmtId="1" fontId="5" fillId="12" borderId="0" xfId="0" applyNumberFormat="1" applyFont="1" applyFill="1"/>
    <xf numFmtId="1" fontId="0" fillId="12" borderId="0" xfId="0" applyNumberFormat="1" applyFill="1"/>
    <xf numFmtId="1" fontId="6" fillId="12" borderId="0" xfId="0" applyNumberFormat="1" applyFont="1" applyFill="1"/>
    <xf numFmtId="2" fontId="0" fillId="12" borderId="0" xfId="0" applyNumberFormat="1" applyFill="1"/>
    <xf numFmtId="0" fontId="21" fillId="12" borderId="0" xfId="0" quotePrefix="1" applyFont="1" applyFill="1"/>
    <xf numFmtId="3" fontId="21" fillId="12" borderId="0" xfId="0" applyNumberFormat="1" applyFont="1" applyFill="1"/>
    <xf numFmtId="0" fontId="0" fillId="13" borderId="0" xfId="0" applyFill="1"/>
    <xf numFmtId="0" fontId="3" fillId="6" borderId="0" xfId="0" applyFont="1" applyFill="1"/>
    <xf numFmtId="0" fontId="3" fillId="12" borderId="0" xfId="0" applyFont="1" applyFill="1"/>
    <xf numFmtId="164" fontId="5" fillId="0" borderId="0" xfId="0" applyNumberFormat="1" applyFont="1" applyFill="1"/>
    <xf numFmtId="164" fontId="5" fillId="0" borderId="0" xfId="0" applyNumberFormat="1" applyFont="1" applyFill="1" applyAlignment="1">
      <alignment horizontal="center"/>
    </xf>
    <xf numFmtId="0" fontId="0" fillId="6" borderId="0" xfId="0" quotePrefix="1" applyFill="1"/>
    <xf numFmtId="0" fontId="25" fillId="13" borderId="0" xfId="0" applyFont="1" applyFill="1"/>
    <xf numFmtId="0" fontId="11" fillId="4" borderId="0" xfId="0" applyFont="1" applyFill="1"/>
    <xf numFmtId="0" fontId="0" fillId="6" borderId="0" xfId="0" applyFill="1" applyAlignment="1">
      <alignment horizontal="left"/>
    </xf>
    <xf numFmtId="0" fontId="22" fillId="4" borderId="0" xfId="0" applyFont="1" applyFill="1"/>
    <xf numFmtId="167" fontId="0" fillId="0" borderId="0" xfId="0" applyNumberFormat="1" applyFill="1" applyBorder="1" applyProtection="1"/>
    <xf numFmtId="167" fontId="0" fillId="14" borderId="0" xfId="0" applyNumberFormat="1" applyFill="1" applyBorder="1" applyProtection="1"/>
    <xf numFmtId="167" fontId="11" fillId="7" borderId="0" xfId="0" applyNumberFormat="1" applyFont="1" applyFill="1"/>
    <xf numFmtId="167" fontId="12" fillId="4" borderId="0" xfId="0" applyNumberFormat="1" applyFont="1" applyFill="1" applyBorder="1" applyProtection="1">
      <protection locked="0"/>
    </xf>
    <xf numFmtId="168" fontId="13" fillId="8" borderId="0" xfId="0" applyNumberFormat="1" applyFont="1" applyFill="1" applyBorder="1" applyProtection="1">
      <protection locked="0"/>
    </xf>
    <xf numFmtId="0" fontId="11" fillId="0" borderId="0" xfId="0" applyFont="1" applyFill="1" applyBorder="1"/>
    <xf numFmtId="167" fontId="13" fillId="2" borderId="0" xfId="0" applyNumberFormat="1" applyFont="1" applyFill="1" applyProtection="1">
      <protection locked="0"/>
    </xf>
    <xf numFmtId="164" fontId="27" fillId="2" borderId="0" xfId="0" applyNumberFormat="1" applyFont="1" applyFill="1" applyProtection="1">
      <protection locked="0"/>
    </xf>
    <xf numFmtId="0" fontId="11" fillId="12" borderId="0" xfId="0" applyFont="1" applyFill="1"/>
    <xf numFmtId="1" fontId="5" fillId="0" borderId="0" xfId="0" applyNumberFormat="1" applyFont="1" applyFill="1"/>
    <xf numFmtId="0" fontId="2" fillId="0" borderId="0" xfId="0" applyNumberFormat="1" applyFont="1" applyFill="1" applyAlignment="1">
      <alignment horizontal="left"/>
    </xf>
    <xf numFmtId="0" fontId="9" fillId="0" borderId="0" xfId="0" applyFont="1"/>
    <xf numFmtId="0" fontId="5" fillId="0" borderId="0" xfId="0" applyFont="1" applyFill="1"/>
    <xf numFmtId="0" fontId="1" fillId="5" borderId="0" xfId="0" applyFont="1" applyFill="1"/>
    <xf numFmtId="0" fontId="1" fillId="7" borderId="0" xfId="0" applyFont="1" applyFill="1"/>
    <xf numFmtId="166" fontId="1" fillId="4" borderId="0" xfId="0" applyNumberFormat="1" applyFont="1" applyFill="1" applyProtection="1"/>
    <xf numFmtId="0" fontId="2" fillId="0" borderId="0" xfId="0" applyFont="1" applyAlignment="1">
      <alignment horizontal="right"/>
    </xf>
    <xf numFmtId="0" fontId="0" fillId="8" borderId="4" xfId="0" applyFill="1" applyBorder="1" applyProtection="1">
      <protection locked="0"/>
    </xf>
    <xf numFmtId="0" fontId="0" fillId="8" borderId="2" xfId="0" applyFill="1" applyBorder="1" applyProtection="1">
      <protection locked="0"/>
    </xf>
    <xf numFmtId="0" fontId="0" fillId="8" borderId="6" xfId="0" applyFill="1" applyBorder="1" applyProtection="1">
      <protection locked="0"/>
    </xf>
    <xf numFmtId="0" fontId="0" fillId="8" borderId="5" xfId="0" applyFill="1" applyBorder="1" applyProtection="1">
      <protection locked="0"/>
    </xf>
    <xf numFmtId="0" fontId="0" fillId="8" borderId="3" xfId="0" applyFill="1" applyBorder="1" applyProtection="1">
      <protection locked="0"/>
    </xf>
    <xf numFmtId="0" fontId="0" fillId="8" borderId="7" xfId="0" applyFill="1" applyBorder="1" applyProtection="1">
      <protection locked="0"/>
    </xf>
    <xf numFmtId="0" fontId="9" fillId="12" borderId="0" xfId="0" applyFont="1" applyFill="1" applyProtection="1"/>
    <xf numFmtId="0" fontId="0" fillId="12" borderId="0" xfId="0" applyFill="1" applyProtection="1"/>
    <xf numFmtId="164" fontId="0" fillId="12" borderId="0" xfId="0" applyNumberFormat="1" applyFill="1" applyProtection="1"/>
    <xf numFmtId="0" fontId="3" fillId="12" borderId="0" xfId="0" quotePrefix="1" applyFont="1" applyFill="1" applyProtection="1"/>
    <xf numFmtId="0" fontId="5" fillId="12" borderId="0" xfId="0" applyFont="1" applyFill="1" applyProtection="1"/>
    <xf numFmtId="164" fontId="5" fillId="12" borderId="0" xfId="0" applyNumberFormat="1" applyFont="1" applyFill="1" applyProtection="1"/>
    <xf numFmtId="164" fontId="5" fillId="4" borderId="0" xfId="0" applyNumberFormat="1" applyFont="1" applyFill="1" applyProtection="1"/>
    <xf numFmtId="1" fontId="0" fillId="12" borderId="0" xfId="0" applyNumberFormat="1" applyFill="1" applyProtection="1"/>
    <xf numFmtId="164" fontId="6" fillId="12" borderId="0" xfId="0" applyNumberFormat="1" applyFont="1" applyFill="1" applyProtection="1"/>
    <xf numFmtId="164" fontId="6" fillId="4" borderId="0" xfId="0" applyNumberFormat="1" applyFont="1" applyFill="1" applyProtection="1"/>
    <xf numFmtId="1" fontId="5" fillId="12" borderId="0" xfId="0" applyNumberFormat="1" applyFont="1" applyFill="1" applyProtection="1"/>
    <xf numFmtId="0" fontId="3" fillId="12" borderId="0" xfId="0" applyFont="1" applyFill="1" applyProtection="1"/>
    <xf numFmtId="1" fontId="5" fillId="4" borderId="0" xfId="0" applyNumberFormat="1" applyFont="1" applyFill="1" applyProtection="1"/>
    <xf numFmtId="1" fontId="6" fillId="12" borderId="0" xfId="0" applyNumberFormat="1" applyFont="1" applyFill="1" applyProtection="1"/>
    <xf numFmtId="1" fontId="6" fillId="4" borderId="0" xfId="0" applyNumberFormat="1" applyFont="1" applyFill="1" applyProtection="1"/>
    <xf numFmtId="3" fontId="5" fillId="7" borderId="0" xfId="0" applyNumberFormat="1" applyFont="1" applyFill="1" applyProtection="1"/>
    <xf numFmtId="3" fontId="21" fillId="12" borderId="0" xfId="0" applyNumberFormat="1" applyFont="1" applyFill="1" applyProtection="1"/>
    <xf numFmtId="2" fontId="0" fillId="12" borderId="0" xfId="0" applyNumberFormat="1" applyFill="1" applyProtection="1"/>
    <xf numFmtId="0" fontId="21" fillId="12" borderId="0" xfId="0" quotePrefix="1" applyFont="1" applyFill="1" applyProtection="1"/>
    <xf numFmtId="0" fontId="1" fillId="0" borderId="0" xfId="0" applyFont="1" applyProtection="1"/>
    <xf numFmtId="0" fontId="0" fillId="0" borderId="0" xfId="0" applyProtection="1"/>
    <xf numFmtId="0" fontId="5" fillId="0" borderId="0" xfId="0" applyFont="1" applyProtection="1"/>
    <xf numFmtId="164" fontId="0" fillId="0" borderId="0" xfId="0" applyNumberFormat="1" applyFill="1" applyProtection="1"/>
    <xf numFmtId="0" fontId="3" fillId="0" borderId="0" xfId="0" applyFont="1" applyFill="1" applyProtection="1"/>
    <xf numFmtId="1" fontId="3" fillId="0" borderId="0" xfId="0" applyNumberFormat="1" applyFont="1" applyFill="1" applyProtection="1"/>
    <xf numFmtId="0" fontId="3" fillId="0" borderId="0" xfId="0" applyFont="1" applyProtection="1"/>
    <xf numFmtId="164" fontId="0" fillId="11" borderId="0" xfId="0" applyNumberFormat="1" applyFill="1" applyProtection="1"/>
    <xf numFmtId="1" fontId="0" fillId="0" borderId="0" xfId="0" applyNumberFormat="1" applyFill="1" applyProtection="1"/>
    <xf numFmtId="1" fontId="0" fillId="3" borderId="0" xfId="0" applyNumberFormat="1" applyFill="1" applyProtection="1"/>
    <xf numFmtId="0" fontId="2" fillId="0" borderId="0" xfId="0" quotePrefix="1" applyFont="1" applyProtection="1"/>
    <xf numFmtId="0" fontId="2" fillId="0" borderId="0" xfId="0" quotePrefix="1" applyFont="1" applyAlignment="1" applyProtection="1">
      <alignment horizontal="center"/>
    </xf>
    <xf numFmtId="164" fontId="2" fillId="0" borderId="0" xfId="0" quotePrefix="1" applyNumberFormat="1" applyFont="1" applyAlignment="1" applyProtection="1">
      <alignment horizontal="center"/>
    </xf>
    <xf numFmtId="0" fontId="9" fillId="4" borderId="0" xfId="0" applyFont="1" applyFill="1" applyProtection="1"/>
    <xf numFmtId="0" fontId="0" fillId="4" borderId="0" xfId="0" quotePrefix="1" applyFill="1" applyAlignment="1" applyProtection="1">
      <alignment horizontal="fill"/>
    </xf>
    <xf numFmtId="0" fontId="0" fillId="4" borderId="0" xfId="0" applyFill="1" applyProtection="1"/>
    <xf numFmtId="0" fontId="3" fillId="4" borderId="0" xfId="0" applyFont="1" applyFill="1" applyProtection="1"/>
    <xf numFmtId="0" fontId="11" fillId="7" borderId="0" xfId="0" applyFont="1" applyFill="1" applyProtection="1"/>
    <xf numFmtId="0" fontId="0" fillId="7" borderId="0" xfId="0" applyFill="1" applyProtection="1"/>
    <xf numFmtId="0" fontId="3" fillId="7" borderId="0" xfId="0" applyFont="1" applyFill="1" applyProtection="1"/>
    <xf numFmtId="164" fontId="0" fillId="7" borderId="0" xfId="0" applyNumberFormat="1" applyFill="1" applyProtection="1"/>
    <xf numFmtId="0" fontId="1" fillId="7" borderId="0" xfId="0" applyFont="1" applyFill="1" applyProtection="1"/>
    <xf numFmtId="0" fontId="0" fillId="7" borderId="0" xfId="0" applyFill="1" applyAlignment="1" applyProtection="1">
      <alignment horizontal="fill"/>
    </xf>
    <xf numFmtId="164" fontId="3" fillId="7" borderId="0" xfId="0" applyNumberFormat="1" applyFont="1" applyFill="1" applyProtection="1"/>
    <xf numFmtId="0" fontId="11" fillId="0" borderId="0" xfId="0" applyFont="1" applyFill="1" applyAlignment="1" applyProtection="1">
      <alignment horizontal="right"/>
    </xf>
    <xf numFmtId="0" fontId="0" fillId="10" borderId="0" xfId="0" applyFill="1" applyProtection="1"/>
    <xf numFmtId="0" fontId="11" fillId="0" borderId="0" xfId="0" applyFont="1" applyProtection="1"/>
    <xf numFmtId="167" fontId="12" fillId="4" borderId="0" xfId="0" applyNumberFormat="1" applyFont="1" applyFill="1" applyProtection="1"/>
    <xf numFmtId="0" fontId="5" fillId="0" borderId="0" xfId="0" quotePrefix="1" applyFont="1" applyFill="1" applyProtection="1"/>
    <xf numFmtId="0" fontId="10" fillId="0" borderId="0" xfId="0" applyFont="1" applyAlignment="1" applyProtection="1">
      <alignment horizontal="center"/>
    </xf>
    <xf numFmtId="1" fontId="0" fillId="11" borderId="0" xfId="0" applyNumberFormat="1" applyFill="1" applyProtection="1"/>
    <xf numFmtId="164" fontId="2" fillId="0" borderId="0" xfId="0" applyNumberFormat="1" applyFont="1" applyAlignment="1" applyProtection="1">
      <alignment horizontal="center"/>
    </xf>
    <xf numFmtId="167" fontId="13" fillId="7" borderId="0" xfId="0" applyNumberFormat="1" applyFont="1" applyFill="1" applyProtection="1"/>
    <xf numFmtId="0" fontId="12" fillId="2" borderId="0" xfId="0" applyFont="1" applyFill="1" applyProtection="1"/>
    <xf numFmtId="0" fontId="2" fillId="0" borderId="0" xfId="0" applyFont="1" applyAlignment="1" applyProtection="1">
      <alignment horizontal="left"/>
    </xf>
    <xf numFmtId="0" fontId="0" fillId="0" borderId="0" xfId="0" applyAlignment="1" applyProtection="1">
      <alignment horizontal="fill"/>
    </xf>
    <xf numFmtId="0" fontId="20" fillId="0" borderId="0" xfId="0" applyFont="1" applyFill="1" applyAlignment="1" applyProtection="1">
      <alignment horizontal="right"/>
    </xf>
    <xf numFmtId="0" fontId="0" fillId="0" borderId="0" xfId="0" applyFill="1" applyAlignment="1" applyProtection="1">
      <alignment horizontal="fill"/>
    </xf>
    <xf numFmtId="164" fontId="5" fillId="0" borderId="0" xfId="0" applyNumberFormat="1" applyFont="1" applyFill="1" applyProtection="1"/>
    <xf numFmtId="164" fontId="5" fillId="7" borderId="0" xfId="0" applyNumberFormat="1" applyFont="1" applyFill="1" applyProtection="1"/>
    <xf numFmtId="164" fontId="2" fillId="0" borderId="0" xfId="0" applyNumberFormat="1" applyFont="1" applyProtection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0000FF"/>
      <color rgb="FFFF99CC"/>
      <color rgb="FFCCFFCC"/>
      <color rgb="FFFFCC99"/>
      <color rgb="FF00FF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62</xdr:row>
      <xdr:rowOff>19050</xdr:rowOff>
    </xdr:from>
    <xdr:to>
      <xdr:col>16</xdr:col>
      <xdr:colOff>504042</xdr:colOff>
      <xdr:row>83</xdr:row>
      <xdr:rowOff>92176</xdr:rowOff>
    </xdr:to>
    <xdr:grpSp>
      <xdr:nvGrpSpPr>
        <xdr:cNvPr id="3" name="Group 2"/>
        <xdr:cNvGrpSpPr/>
      </xdr:nvGrpSpPr>
      <xdr:grpSpPr>
        <a:xfrm>
          <a:off x="7558088" y="11079956"/>
          <a:ext cx="8781267" cy="3775970"/>
          <a:chOff x="10388600" y="8604250"/>
          <a:chExt cx="6193642" cy="3720224"/>
        </a:xfrm>
      </xdr:grpSpPr>
      <xdr:sp macro="" textlink="">
        <xdr:nvSpPr>
          <xdr:cNvPr id="54" name="Line 2"/>
          <xdr:cNvSpPr>
            <a:spLocks noChangeShapeType="1"/>
          </xdr:cNvSpPr>
        </xdr:nvSpPr>
        <xdr:spPr bwMode="auto">
          <a:xfrm flipV="1">
            <a:off x="13173750" y="8604250"/>
            <a:ext cx="0" cy="94997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" name="Line 3"/>
          <xdr:cNvSpPr>
            <a:spLocks noChangeShapeType="1"/>
          </xdr:cNvSpPr>
        </xdr:nvSpPr>
        <xdr:spPr bwMode="auto">
          <a:xfrm flipV="1">
            <a:off x="15285434" y="8604250"/>
            <a:ext cx="0" cy="94997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 fLocksText="0">
        <xdr:nvSpPr>
          <xdr:cNvPr id="53" name="AutoShape 1"/>
          <xdr:cNvSpPr>
            <a:spLocks noChangeArrowheads="1"/>
          </xdr:cNvSpPr>
        </xdr:nvSpPr>
        <xdr:spPr bwMode="auto">
          <a:xfrm rot="10800000">
            <a:off x="12088827" y="9650185"/>
            <a:ext cx="4223366" cy="1592891"/>
          </a:xfrm>
          <a:custGeom>
            <a:avLst/>
            <a:gdLst>
              <a:gd name="G0" fmla="+- 5400 0 0"/>
              <a:gd name="G1" fmla="+- 21600 0 5400"/>
              <a:gd name="G2" fmla="*/ 5400 1 2"/>
              <a:gd name="G3" fmla="+- 21600 0 G2"/>
              <a:gd name="G4" fmla="+/ 5400 21600 2"/>
              <a:gd name="G5" fmla="+/ G1 0 2"/>
              <a:gd name="G6" fmla="*/ 21600 21600 5400"/>
              <a:gd name="G7" fmla="*/ G6 1 2"/>
              <a:gd name="G8" fmla="+- 21600 0 G7"/>
              <a:gd name="G9" fmla="*/ 21600 1 2"/>
              <a:gd name="G10" fmla="+- 5400 0 G9"/>
              <a:gd name="G11" fmla="?: G10 G8 0"/>
              <a:gd name="G12" fmla="?: G10 G7 21600"/>
              <a:gd name="T0" fmla="*/ 18900 w 21600"/>
              <a:gd name="T1" fmla="*/ 10800 h 21600"/>
              <a:gd name="T2" fmla="*/ 10800 w 21600"/>
              <a:gd name="T3" fmla="*/ 21600 h 21600"/>
              <a:gd name="T4" fmla="*/ 2700 w 21600"/>
              <a:gd name="T5" fmla="*/ 10800 h 21600"/>
              <a:gd name="T6" fmla="*/ 10800 w 21600"/>
              <a:gd name="T7" fmla="*/ 0 h 21600"/>
              <a:gd name="T8" fmla="*/ 4500 w 21600"/>
              <a:gd name="T9" fmla="*/ 4500 h 21600"/>
              <a:gd name="T10" fmla="*/ 17100 w 21600"/>
              <a:gd name="T11" fmla="*/ 17100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T8" t="T9" r="T10" b="T11"/>
            <a:pathLst>
              <a:path w="21600" h="21600">
                <a:moveTo>
                  <a:pt x="0" y="0"/>
                </a:moveTo>
                <a:lnTo>
                  <a:pt x="5400" y="21600"/>
                </a:lnTo>
                <a:lnTo>
                  <a:pt x="16200" y="21600"/>
                </a:lnTo>
                <a:lnTo>
                  <a:pt x="21600" y="0"/>
                </a:lnTo>
                <a:close/>
              </a:path>
            </a:pathLst>
          </a:custGeom>
          <a:solidFill>
            <a:srgbClr val="00B050"/>
          </a:solidFill>
          <a:ln w="2857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none" lIns="91440" tIns="45720" rIns="91440" bIns="45720" anchor="t" upright="1"/>
          <a:lstStyle/>
          <a:p>
            <a:pPr algn="l" rtl="0">
              <a:defRPr sz="1000"/>
            </a:pPr>
            <a:r>
              <a:rPr lang="en-US" sz="2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Pile Cross Section  </a:t>
            </a:r>
          </a:p>
          <a:p>
            <a:pPr algn="l" rtl="0">
              <a:defRPr sz="1000"/>
            </a:pPr>
            <a:r>
              <a:rPr lang="en-US" sz="2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    (not to scale)</a:t>
            </a:r>
          </a:p>
        </xdr:txBody>
      </xdr:sp>
      <xdr:sp macro="" textlink="">
        <xdr:nvSpPr>
          <xdr:cNvPr id="56" name="Text Box 4"/>
          <xdr:cNvSpPr txBox="1">
            <a:spLocks noChangeArrowheads="1"/>
          </xdr:cNvSpPr>
        </xdr:nvSpPr>
        <xdr:spPr bwMode="auto">
          <a:xfrm>
            <a:off x="13749477" y="8613222"/>
            <a:ext cx="1225530" cy="6333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91440" tIns="45720" rIns="91440" bIns="45720" anchor="t" upright="1">
            <a:noAutofit/>
          </a:bodyPr>
          <a:lstStyle/>
          <a:p>
            <a:pPr algn="l" rtl="0">
              <a:defRPr sz="1000"/>
            </a:pPr>
            <a:r>
              <a:rPr lang="en-US" sz="1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Top Width</a:t>
            </a:r>
          </a:p>
          <a:p>
            <a:pPr algn="l" rtl="0">
              <a:defRPr sz="1000"/>
            </a:pPr>
            <a:endParaRPr lang="en-US" sz="1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7" name="Line 5"/>
          <xdr:cNvSpPr>
            <a:spLocks noChangeShapeType="1"/>
          </xdr:cNvSpPr>
        </xdr:nvSpPr>
        <xdr:spPr bwMode="auto">
          <a:xfrm flipH="1">
            <a:off x="13173750" y="8824952"/>
            <a:ext cx="367659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" name="Line 6"/>
          <xdr:cNvSpPr>
            <a:spLocks noChangeShapeType="1"/>
          </xdr:cNvSpPr>
        </xdr:nvSpPr>
        <xdr:spPr bwMode="auto">
          <a:xfrm>
            <a:off x="14908349" y="8824952"/>
            <a:ext cx="37708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9" name="Line 7"/>
          <xdr:cNvSpPr>
            <a:spLocks noChangeShapeType="1"/>
          </xdr:cNvSpPr>
        </xdr:nvSpPr>
        <xdr:spPr bwMode="auto">
          <a:xfrm>
            <a:off x="15445964" y="9928461"/>
            <a:ext cx="45250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0" name="Line 8"/>
          <xdr:cNvSpPr>
            <a:spLocks noChangeShapeType="1"/>
          </xdr:cNvSpPr>
        </xdr:nvSpPr>
        <xdr:spPr bwMode="auto">
          <a:xfrm>
            <a:off x="15898466" y="9928461"/>
            <a:ext cx="0" cy="60453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" name="Text Box 10"/>
          <xdr:cNvSpPr txBox="1">
            <a:spLocks noChangeArrowheads="1"/>
          </xdr:cNvSpPr>
        </xdr:nvSpPr>
        <xdr:spPr bwMode="auto">
          <a:xfrm>
            <a:off x="15879611" y="10110780"/>
            <a:ext cx="311096" cy="6333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91440" tIns="45720" rIns="91440" bIns="45720" anchor="t" upright="1">
            <a:noAutofit/>
          </a:bodyPr>
          <a:lstStyle/>
          <a:p>
            <a:pPr algn="l" rtl="0">
              <a:defRPr sz="1000"/>
            </a:pPr>
            <a:r>
              <a:rPr lang="en-US" sz="1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  <a:p>
            <a:pPr algn="l" rtl="0">
              <a:defRPr sz="1000"/>
            </a:pPr>
            <a:endParaRPr lang="en-US" sz="1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62" name="Line 11"/>
          <xdr:cNvSpPr>
            <a:spLocks noChangeShapeType="1"/>
          </xdr:cNvSpPr>
        </xdr:nvSpPr>
        <xdr:spPr bwMode="auto">
          <a:xfrm flipH="1">
            <a:off x="10690269" y="9640589"/>
            <a:ext cx="188543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" name="Line 12"/>
          <xdr:cNvSpPr>
            <a:spLocks noChangeShapeType="1"/>
          </xdr:cNvSpPr>
        </xdr:nvSpPr>
        <xdr:spPr bwMode="auto">
          <a:xfrm flipH="1">
            <a:off x="10614849" y="11233480"/>
            <a:ext cx="134916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" name="Text Box 13"/>
          <xdr:cNvSpPr txBox="1">
            <a:spLocks noChangeArrowheads="1"/>
          </xdr:cNvSpPr>
        </xdr:nvSpPr>
        <xdr:spPr bwMode="auto">
          <a:xfrm>
            <a:off x="10388600" y="10010235"/>
            <a:ext cx="839017" cy="6333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91440" tIns="45720" rIns="91440" bIns="45720" anchor="t" upright="1">
            <a:noAutofit/>
          </a:bodyPr>
          <a:lstStyle/>
          <a:p>
            <a:pPr algn="l" rtl="0">
              <a:defRPr sz="1000"/>
            </a:pPr>
            <a:r>
              <a:rPr lang="en-US" sz="1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Height</a:t>
            </a:r>
          </a:p>
          <a:p>
            <a:pPr algn="l" rtl="0">
              <a:defRPr sz="1000"/>
            </a:pPr>
            <a:endParaRPr lang="en-US" sz="1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65" name="Line 14"/>
          <xdr:cNvSpPr>
            <a:spLocks noChangeShapeType="1"/>
          </xdr:cNvSpPr>
        </xdr:nvSpPr>
        <xdr:spPr bwMode="auto">
          <a:xfrm>
            <a:off x="10765686" y="10734502"/>
            <a:ext cx="0" cy="49897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" name="Text Box 16"/>
          <xdr:cNvSpPr txBox="1">
            <a:spLocks noChangeArrowheads="1"/>
          </xdr:cNvSpPr>
        </xdr:nvSpPr>
        <xdr:spPr bwMode="auto">
          <a:xfrm>
            <a:off x="15752652" y="9602206"/>
            <a:ext cx="829590" cy="6333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91440" tIns="45720" rIns="91440" bIns="45720" anchor="t" upright="1">
            <a:noAutofit/>
          </a:bodyPr>
          <a:lstStyle/>
          <a:p>
            <a:pPr algn="l" rtl="0">
              <a:defRPr sz="1000"/>
            </a:pPr>
            <a:r>
              <a:rPr lang="en-US" sz="1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Slope </a:t>
            </a:r>
          </a:p>
          <a:p>
            <a:pPr algn="l" rtl="0">
              <a:defRPr sz="1000"/>
            </a:pPr>
            <a:endParaRPr lang="en-US" sz="1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67" name="Line 17"/>
          <xdr:cNvSpPr>
            <a:spLocks noChangeShapeType="1"/>
          </xdr:cNvSpPr>
        </xdr:nvSpPr>
        <xdr:spPr bwMode="auto">
          <a:xfrm flipV="1">
            <a:off x="16092030" y="11271863"/>
            <a:ext cx="0" cy="83482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8" name="Line 18"/>
          <xdr:cNvSpPr>
            <a:spLocks noChangeShapeType="1"/>
          </xdr:cNvSpPr>
        </xdr:nvSpPr>
        <xdr:spPr bwMode="auto">
          <a:xfrm>
            <a:off x="14630821" y="11943564"/>
            <a:ext cx="144235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" name="Line 19"/>
          <xdr:cNvSpPr>
            <a:spLocks noChangeShapeType="1"/>
          </xdr:cNvSpPr>
        </xdr:nvSpPr>
        <xdr:spPr bwMode="auto">
          <a:xfrm flipV="1">
            <a:off x="11821528" y="11243076"/>
            <a:ext cx="0" cy="83482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0" name="Line 20"/>
          <xdr:cNvSpPr>
            <a:spLocks noChangeShapeType="1"/>
          </xdr:cNvSpPr>
        </xdr:nvSpPr>
        <xdr:spPr bwMode="auto">
          <a:xfrm flipH="1">
            <a:off x="11830955" y="11943564"/>
            <a:ext cx="150834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" name="Text Box 21"/>
          <xdr:cNvSpPr txBox="1">
            <a:spLocks noChangeArrowheads="1"/>
          </xdr:cNvSpPr>
        </xdr:nvSpPr>
        <xdr:spPr bwMode="auto">
          <a:xfrm>
            <a:off x="13405290" y="11691156"/>
            <a:ext cx="1555481" cy="6333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91440" tIns="45720" rIns="91440" bIns="45720" anchor="t" upright="1">
            <a:noAutofit/>
          </a:bodyPr>
          <a:lstStyle/>
          <a:p>
            <a:pPr algn="l" rtl="0">
              <a:defRPr sz="1000"/>
            </a:pPr>
            <a:r>
              <a:rPr lang="en-US" sz="1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Bottom Width</a:t>
            </a:r>
          </a:p>
          <a:p>
            <a:pPr algn="l" rtl="0">
              <a:defRPr sz="1000"/>
            </a:pPr>
            <a:endParaRPr lang="en-US" sz="1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72" name="Text Box 23"/>
          <xdr:cNvSpPr txBox="1">
            <a:spLocks noChangeArrowheads="1"/>
          </xdr:cNvSpPr>
        </xdr:nvSpPr>
        <xdr:spPr bwMode="auto">
          <a:xfrm>
            <a:off x="11630768" y="9658734"/>
            <a:ext cx="839017" cy="9019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91440" tIns="45720" rIns="91440" bIns="45720" anchor="t" upright="1">
            <a:noAutofit/>
          </a:bodyPr>
          <a:lstStyle/>
          <a:p>
            <a:pPr algn="l" rtl="0">
              <a:defRPr sz="1000"/>
            </a:pPr>
            <a:r>
              <a:rPr lang="en-US" sz="1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Avg.</a:t>
            </a:r>
          </a:p>
          <a:p>
            <a:pPr algn="l" rtl="0">
              <a:defRPr sz="1000"/>
            </a:pPr>
            <a:r>
              <a:rPr lang="en-US" sz="1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Height</a:t>
            </a:r>
          </a:p>
          <a:p>
            <a:pPr algn="l" rtl="0">
              <a:defRPr sz="1000"/>
            </a:pPr>
            <a:endParaRPr lang="en-US" sz="1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73" name="Line 24"/>
          <xdr:cNvSpPr>
            <a:spLocks noChangeShapeType="1"/>
          </xdr:cNvSpPr>
        </xdr:nvSpPr>
        <xdr:spPr bwMode="auto">
          <a:xfrm flipH="1">
            <a:off x="11180481" y="10312290"/>
            <a:ext cx="109355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4" name="Line 25"/>
          <xdr:cNvSpPr>
            <a:spLocks noChangeShapeType="1"/>
          </xdr:cNvSpPr>
        </xdr:nvSpPr>
        <xdr:spPr bwMode="auto">
          <a:xfrm>
            <a:off x="11788092" y="10926417"/>
            <a:ext cx="0" cy="31665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5" name="Line 26"/>
          <xdr:cNvSpPr>
            <a:spLocks noChangeShapeType="1"/>
          </xdr:cNvSpPr>
        </xdr:nvSpPr>
        <xdr:spPr bwMode="auto">
          <a:xfrm flipH="1" flipV="1">
            <a:off x="11759808" y="10312290"/>
            <a:ext cx="0" cy="27334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6" name="Line 27"/>
          <xdr:cNvSpPr>
            <a:spLocks noChangeShapeType="1"/>
          </xdr:cNvSpPr>
        </xdr:nvSpPr>
        <xdr:spPr bwMode="auto">
          <a:xfrm flipH="1" flipV="1">
            <a:off x="10727978" y="9640589"/>
            <a:ext cx="0" cy="43180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62</xdr:row>
      <xdr:rowOff>19050</xdr:rowOff>
    </xdr:from>
    <xdr:to>
      <xdr:col>16</xdr:col>
      <xdr:colOff>504042</xdr:colOff>
      <xdr:row>83</xdr:row>
      <xdr:rowOff>113945</xdr:rowOff>
    </xdr:to>
    <xdr:grpSp>
      <xdr:nvGrpSpPr>
        <xdr:cNvPr id="27" name="Group 26"/>
        <xdr:cNvGrpSpPr/>
      </xdr:nvGrpSpPr>
      <xdr:grpSpPr>
        <a:xfrm>
          <a:off x="8105775" y="11079956"/>
          <a:ext cx="7602548" cy="3833458"/>
          <a:chOff x="10388600" y="8604250"/>
          <a:chExt cx="6193642" cy="3741531"/>
        </a:xfrm>
      </xdr:grpSpPr>
      <xdr:sp macro="" textlink="">
        <xdr:nvSpPr>
          <xdr:cNvPr id="28" name="Line 2"/>
          <xdr:cNvSpPr>
            <a:spLocks noChangeShapeType="1"/>
          </xdr:cNvSpPr>
        </xdr:nvSpPr>
        <xdr:spPr bwMode="auto">
          <a:xfrm flipV="1">
            <a:off x="12877369" y="8604250"/>
            <a:ext cx="0" cy="94997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" name="Line 3"/>
          <xdr:cNvSpPr>
            <a:spLocks noChangeShapeType="1"/>
          </xdr:cNvSpPr>
        </xdr:nvSpPr>
        <xdr:spPr bwMode="auto">
          <a:xfrm flipV="1">
            <a:off x="14989053" y="8604250"/>
            <a:ext cx="0" cy="94997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 fLocksText="0">
        <xdr:nvSpPr>
          <xdr:cNvPr id="30" name="AutoShape 1"/>
          <xdr:cNvSpPr>
            <a:spLocks noChangeArrowheads="1"/>
          </xdr:cNvSpPr>
        </xdr:nvSpPr>
        <xdr:spPr bwMode="auto">
          <a:xfrm rot="10800000">
            <a:off x="11849809" y="9650185"/>
            <a:ext cx="4223366" cy="1592891"/>
          </a:xfrm>
          <a:custGeom>
            <a:avLst/>
            <a:gdLst>
              <a:gd name="G0" fmla="+- 5400 0 0"/>
              <a:gd name="G1" fmla="+- 21600 0 5400"/>
              <a:gd name="G2" fmla="*/ 5400 1 2"/>
              <a:gd name="G3" fmla="+- 21600 0 G2"/>
              <a:gd name="G4" fmla="+/ 5400 21600 2"/>
              <a:gd name="G5" fmla="+/ G1 0 2"/>
              <a:gd name="G6" fmla="*/ 21600 21600 5400"/>
              <a:gd name="G7" fmla="*/ G6 1 2"/>
              <a:gd name="G8" fmla="+- 21600 0 G7"/>
              <a:gd name="G9" fmla="*/ 21600 1 2"/>
              <a:gd name="G10" fmla="+- 5400 0 G9"/>
              <a:gd name="G11" fmla="?: G10 G8 0"/>
              <a:gd name="G12" fmla="?: G10 G7 21600"/>
              <a:gd name="T0" fmla="*/ 18900 w 21600"/>
              <a:gd name="T1" fmla="*/ 10800 h 21600"/>
              <a:gd name="T2" fmla="*/ 10800 w 21600"/>
              <a:gd name="T3" fmla="*/ 21600 h 21600"/>
              <a:gd name="T4" fmla="*/ 2700 w 21600"/>
              <a:gd name="T5" fmla="*/ 10800 h 21600"/>
              <a:gd name="T6" fmla="*/ 10800 w 21600"/>
              <a:gd name="T7" fmla="*/ 0 h 21600"/>
              <a:gd name="T8" fmla="*/ 4500 w 21600"/>
              <a:gd name="T9" fmla="*/ 4500 h 21600"/>
              <a:gd name="T10" fmla="*/ 17100 w 21600"/>
              <a:gd name="T11" fmla="*/ 17100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T8" t="T9" r="T10" b="T11"/>
            <a:pathLst>
              <a:path w="21600" h="21600">
                <a:moveTo>
                  <a:pt x="0" y="0"/>
                </a:moveTo>
                <a:lnTo>
                  <a:pt x="5400" y="21600"/>
                </a:lnTo>
                <a:lnTo>
                  <a:pt x="16200" y="21600"/>
                </a:lnTo>
                <a:lnTo>
                  <a:pt x="21600" y="0"/>
                </a:lnTo>
                <a:close/>
              </a:path>
            </a:pathLst>
          </a:custGeom>
          <a:solidFill>
            <a:srgbClr val="00B050"/>
          </a:solidFill>
          <a:ln w="2857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none" lIns="91440" tIns="45720" rIns="91440" bIns="45720" anchor="t" upright="1"/>
          <a:lstStyle/>
          <a:p>
            <a:pPr algn="l" rtl="0">
              <a:defRPr sz="1000"/>
            </a:pPr>
            <a:r>
              <a:rPr lang="en-US" sz="2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Pile Cross Section  </a:t>
            </a:r>
          </a:p>
          <a:p>
            <a:pPr algn="l" rtl="0">
              <a:defRPr sz="1000"/>
            </a:pPr>
            <a:r>
              <a:rPr lang="en-US" sz="2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    (not to scale)</a:t>
            </a:r>
          </a:p>
        </xdr:txBody>
      </xdr:sp>
      <xdr:sp macro="" textlink="">
        <xdr:nvSpPr>
          <xdr:cNvPr id="31" name="Text Box 4"/>
          <xdr:cNvSpPr txBox="1">
            <a:spLocks noChangeArrowheads="1"/>
          </xdr:cNvSpPr>
        </xdr:nvSpPr>
        <xdr:spPr bwMode="auto">
          <a:xfrm>
            <a:off x="13405290" y="8681016"/>
            <a:ext cx="1225530" cy="6333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91440" tIns="45720" rIns="91440" bIns="45720" anchor="t" upright="1">
            <a:noAutofit/>
          </a:bodyPr>
          <a:lstStyle/>
          <a:p>
            <a:pPr algn="l" rtl="0">
              <a:defRPr sz="1000"/>
            </a:pPr>
            <a:r>
              <a:rPr lang="en-US" sz="1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Top Width</a:t>
            </a:r>
          </a:p>
          <a:p>
            <a:pPr algn="l" rtl="0">
              <a:defRPr sz="1000"/>
            </a:pPr>
            <a:endParaRPr lang="en-US" sz="1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32" name="Line 5"/>
          <xdr:cNvSpPr>
            <a:spLocks noChangeShapeType="1"/>
          </xdr:cNvSpPr>
        </xdr:nvSpPr>
        <xdr:spPr bwMode="auto">
          <a:xfrm flipH="1">
            <a:off x="12877369" y="8824952"/>
            <a:ext cx="367659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" name="Line 6"/>
          <xdr:cNvSpPr>
            <a:spLocks noChangeShapeType="1"/>
          </xdr:cNvSpPr>
        </xdr:nvSpPr>
        <xdr:spPr bwMode="auto">
          <a:xfrm>
            <a:off x="14611966" y="8824952"/>
            <a:ext cx="37708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" name="Line 7"/>
          <xdr:cNvSpPr>
            <a:spLocks noChangeShapeType="1"/>
          </xdr:cNvSpPr>
        </xdr:nvSpPr>
        <xdr:spPr bwMode="auto">
          <a:xfrm>
            <a:off x="15192428" y="9928461"/>
            <a:ext cx="45250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" name="Line 8"/>
          <xdr:cNvSpPr>
            <a:spLocks noChangeShapeType="1"/>
          </xdr:cNvSpPr>
        </xdr:nvSpPr>
        <xdr:spPr bwMode="auto">
          <a:xfrm>
            <a:off x="15644932" y="9928461"/>
            <a:ext cx="0" cy="60453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" name="Text Box 10"/>
          <xdr:cNvSpPr txBox="1">
            <a:spLocks noChangeArrowheads="1"/>
          </xdr:cNvSpPr>
        </xdr:nvSpPr>
        <xdr:spPr bwMode="auto">
          <a:xfrm>
            <a:off x="15626077" y="10110780"/>
            <a:ext cx="311096" cy="6333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91440" tIns="45720" rIns="91440" bIns="45720" anchor="t" upright="1">
            <a:noAutofit/>
          </a:bodyPr>
          <a:lstStyle/>
          <a:p>
            <a:pPr algn="l" rtl="0">
              <a:defRPr sz="1000"/>
            </a:pPr>
            <a:r>
              <a:rPr lang="en-US" sz="1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  <a:p>
            <a:pPr algn="l" rtl="0">
              <a:defRPr sz="1000"/>
            </a:pPr>
            <a:endParaRPr lang="en-US" sz="1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37" name="Line 11"/>
          <xdr:cNvSpPr>
            <a:spLocks noChangeShapeType="1"/>
          </xdr:cNvSpPr>
        </xdr:nvSpPr>
        <xdr:spPr bwMode="auto">
          <a:xfrm flipH="1">
            <a:off x="10690269" y="9640589"/>
            <a:ext cx="188543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" name="Line 12"/>
          <xdr:cNvSpPr>
            <a:spLocks noChangeShapeType="1"/>
          </xdr:cNvSpPr>
        </xdr:nvSpPr>
        <xdr:spPr bwMode="auto">
          <a:xfrm flipH="1">
            <a:off x="10614852" y="11233480"/>
            <a:ext cx="98042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" name="Text Box 13"/>
          <xdr:cNvSpPr txBox="1">
            <a:spLocks noChangeArrowheads="1"/>
          </xdr:cNvSpPr>
        </xdr:nvSpPr>
        <xdr:spPr bwMode="auto">
          <a:xfrm>
            <a:off x="10388600" y="10091588"/>
            <a:ext cx="839017" cy="6333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91440" tIns="45720" rIns="91440" bIns="45720" anchor="t" upright="1">
            <a:noAutofit/>
          </a:bodyPr>
          <a:lstStyle/>
          <a:p>
            <a:pPr algn="l" rtl="0">
              <a:defRPr sz="1000"/>
            </a:pPr>
            <a:r>
              <a:rPr lang="en-US" sz="1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Height</a:t>
            </a:r>
          </a:p>
          <a:p>
            <a:pPr algn="l" rtl="0">
              <a:defRPr sz="1000"/>
            </a:pPr>
            <a:endParaRPr lang="en-US" sz="1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40" name="Line 14"/>
          <xdr:cNvSpPr>
            <a:spLocks noChangeShapeType="1"/>
          </xdr:cNvSpPr>
        </xdr:nvSpPr>
        <xdr:spPr bwMode="auto">
          <a:xfrm>
            <a:off x="10765686" y="10734502"/>
            <a:ext cx="0" cy="49897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15752652" y="9602206"/>
            <a:ext cx="829590" cy="6333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91440" tIns="45720" rIns="91440" bIns="45720" anchor="t" upright="1">
            <a:noAutofit/>
          </a:bodyPr>
          <a:lstStyle/>
          <a:p>
            <a:pPr algn="l" rtl="0">
              <a:defRPr sz="1000"/>
            </a:pPr>
            <a:r>
              <a:rPr lang="en-US" sz="1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Slope </a:t>
            </a:r>
          </a:p>
          <a:p>
            <a:pPr algn="l" rtl="0">
              <a:defRPr sz="1000"/>
            </a:pPr>
            <a:endParaRPr lang="en-US" sz="1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 flipV="1">
            <a:off x="16092030" y="11271863"/>
            <a:ext cx="0" cy="83482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" name="Line 18"/>
          <xdr:cNvSpPr>
            <a:spLocks noChangeShapeType="1"/>
          </xdr:cNvSpPr>
        </xdr:nvSpPr>
        <xdr:spPr bwMode="auto">
          <a:xfrm>
            <a:off x="14630821" y="11943564"/>
            <a:ext cx="144235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4" name="Line 19"/>
          <xdr:cNvSpPr>
            <a:spLocks noChangeShapeType="1"/>
          </xdr:cNvSpPr>
        </xdr:nvSpPr>
        <xdr:spPr bwMode="auto">
          <a:xfrm flipV="1">
            <a:off x="11821528" y="11243076"/>
            <a:ext cx="0" cy="83482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 flipH="1">
            <a:off x="11830955" y="11943564"/>
            <a:ext cx="150834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" name="Text Box 21"/>
          <xdr:cNvSpPr txBox="1">
            <a:spLocks noChangeArrowheads="1"/>
          </xdr:cNvSpPr>
        </xdr:nvSpPr>
        <xdr:spPr bwMode="auto">
          <a:xfrm>
            <a:off x="13405290" y="11712463"/>
            <a:ext cx="1555481" cy="6333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91440" tIns="45720" rIns="91440" bIns="45720" anchor="t" upright="1">
            <a:noAutofit/>
          </a:bodyPr>
          <a:lstStyle/>
          <a:p>
            <a:pPr algn="l" rtl="0">
              <a:defRPr sz="1000"/>
            </a:pPr>
            <a:r>
              <a:rPr lang="en-US" sz="1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Bottom Width</a:t>
            </a:r>
          </a:p>
          <a:p>
            <a:pPr algn="l" rtl="0">
              <a:defRPr sz="1000"/>
            </a:pPr>
            <a:endParaRPr lang="en-US" sz="1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47" name="Text Box 23"/>
          <xdr:cNvSpPr txBox="1">
            <a:spLocks noChangeArrowheads="1"/>
          </xdr:cNvSpPr>
        </xdr:nvSpPr>
        <xdr:spPr bwMode="auto">
          <a:xfrm>
            <a:off x="11114491" y="9563823"/>
            <a:ext cx="839017" cy="9019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91440" tIns="45720" rIns="91440" bIns="45720" anchor="t" upright="1">
            <a:noAutofit/>
          </a:bodyPr>
          <a:lstStyle/>
          <a:p>
            <a:pPr algn="l" rtl="0">
              <a:defRPr sz="1000"/>
            </a:pPr>
            <a:r>
              <a:rPr lang="en-US" sz="1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Avg.</a:t>
            </a:r>
          </a:p>
          <a:p>
            <a:pPr algn="l" rtl="0">
              <a:defRPr sz="1000"/>
            </a:pPr>
            <a:r>
              <a:rPr lang="en-US" sz="1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Height</a:t>
            </a:r>
          </a:p>
          <a:p>
            <a:pPr algn="l" rtl="0">
              <a:defRPr sz="1000"/>
            </a:pPr>
            <a:endParaRPr lang="en-US" sz="1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48" name="Line 24"/>
          <xdr:cNvSpPr>
            <a:spLocks noChangeShapeType="1"/>
          </xdr:cNvSpPr>
        </xdr:nvSpPr>
        <xdr:spPr bwMode="auto">
          <a:xfrm flipH="1">
            <a:off x="11180481" y="10312290"/>
            <a:ext cx="109355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" name="Line 25"/>
          <xdr:cNvSpPr>
            <a:spLocks noChangeShapeType="1"/>
          </xdr:cNvSpPr>
        </xdr:nvSpPr>
        <xdr:spPr bwMode="auto">
          <a:xfrm>
            <a:off x="11482150" y="10926417"/>
            <a:ext cx="0" cy="31665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" name="Line 26"/>
          <xdr:cNvSpPr>
            <a:spLocks noChangeShapeType="1"/>
          </xdr:cNvSpPr>
        </xdr:nvSpPr>
        <xdr:spPr bwMode="auto">
          <a:xfrm flipH="1" flipV="1">
            <a:off x="11484853" y="10312290"/>
            <a:ext cx="0" cy="29746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" name="Line 27"/>
          <xdr:cNvSpPr>
            <a:spLocks noChangeShapeType="1"/>
          </xdr:cNvSpPr>
        </xdr:nvSpPr>
        <xdr:spPr bwMode="auto">
          <a:xfrm flipH="1" flipV="1">
            <a:off x="10727978" y="9640589"/>
            <a:ext cx="9427" cy="43180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515356</xdr:colOff>
      <xdr:row>61</xdr:row>
      <xdr:rowOff>158750</xdr:rowOff>
    </xdr:from>
    <xdr:to>
      <xdr:col>17</xdr:col>
      <xdr:colOff>88117</xdr:colOff>
      <xdr:row>82</xdr:row>
      <xdr:rowOff>163822</xdr:rowOff>
    </xdr:to>
    <xdr:grpSp>
      <xdr:nvGrpSpPr>
        <xdr:cNvPr id="27" name="Group 26"/>
        <xdr:cNvGrpSpPr/>
      </xdr:nvGrpSpPr>
      <xdr:grpSpPr>
        <a:xfrm>
          <a:off x="8992606" y="10981531"/>
          <a:ext cx="8704855" cy="3743635"/>
          <a:chOff x="7611481" y="11017250"/>
          <a:chExt cx="7680917" cy="3743635"/>
        </a:xfrm>
      </xdr:grpSpPr>
      <xdr:sp macro="" textlink="">
        <xdr:nvSpPr>
          <xdr:cNvPr id="28" name="Line 2"/>
          <xdr:cNvSpPr>
            <a:spLocks noChangeShapeType="1"/>
          </xdr:cNvSpPr>
        </xdr:nvSpPr>
        <xdr:spPr bwMode="auto">
          <a:xfrm flipV="1">
            <a:off x="11002767" y="11017250"/>
            <a:ext cx="0" cy="96041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" name="Line 3"/>
          <xdr:cNvSpPr>
            <a:spLocks noChangeShapeType="1"/>
          </xdr:cNvSpPr>
        </xdr:nvSpPr>
        <xdr:spPr bwMode="auto">
          <a:xfrm flipV="1">
            <a:off x="13450263" y="11017250"/>
            <a:ext cx="0" cy="96041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 fLocksText="0">
        <xdr:nvSpPr>
          <xdr:cNvPr id="30" name="AutoShape 1"/>
          <xdr:cNvSpPr>
            <a:spLocks noChangeArrowheads="1"/>
          </xdr:cNvSpPr>
        </xdr:nvSpPr>
        <xdr:spPr bwMode="auto">
          <a:xfrm rot="10800000">
            <a:off x="9827820" y="12064941"/>
            <a:ext cx="4811646" cy="1610393"/>
          </a:xfrm>
          <a:custGeom>
            <a:avLst/>
            <a:gdLst>
              <a:gd name="G0" fmla="+- 5400 0 0"/>
              <a:gd name="G1" fmla="+- 21600 0 5400"/>
              <a:gd name="G2" fmla="*/ 5400 1 2"/>
              <a:gd name="G3" fmla="+- 21600 0 G2"/>
              <a:gd name="G4" fmla="+/ 5400 21600 2"/>
              <a:gd name="G5" fmla="+/ G1 0 2"/>
              <a:gd name="G6" fmla="*/ 21600 21600 5400"/>
              <a:gd name="G7" fmla="*/ G6 1 2"/>
              <a:gd name="G8" fmla="+- 21600 0 G7"/>
              <a:gd name="G9" fmla="*/ 21600 1 2"/>
              <a:gd name="G10" fmla="+- 5400 0 G9"/>
              <a:gd name="G11" fmla="?: G10 G8 0"/>
              <a:gd name="G12" fmla="?: G10 G7 21600"/>
              <a:gd name="T0" fmla="*/ 18900 w 21600"/>
              <a:gd name="T1" fmla="*/ 10800 h 21600"/>
              <a:gd name="T2" fmla="*/ 10800 w 21600"/>
              <a:gd name="T3" fmla="*/ 21600 h 21600"/>
              <a:gd name="T4" fmla="*/ 2700 w 21600"/>
              <a:gd name="T5" fmla="*/ 10800 h 21600"/>
              <a:gd name="T6" fmla="*/ 10800 w 21600"/>
              <a:gd name="T7" fmla="*/ 0 h 21600"/>
              <a:gd name="T8" fmla="*/ 4500 w 21600"/>
              <a:gd name="T9" fmla="*/ 4500 h 21600"/>
              <a:gd name="T10" fmla="*/ 17100 w 21600"/>
              <a:gd name="T11" fmla="*/ 17100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T8" t="T9" r="T10" b="T11"/>
            <a:pathLst>
              <a:path w="21600" h="21600">
                <a:moveTo>
                  <a:pt x="0" y="0"/>
                </a:moveTo>
                <a:lnTo>
                  <a:pt x="5400" y="21600"/>
                </a:lnTo>
                <a:lnTo>
                  <a:pt x="16200" y="21600"/>
                </a:lnTo>
                <a:lnTo>
                  <a:pt x="21600" y="0"/>
                </a:lnTo>
                <a:close/>
              </a:path>
            </a:pathLst>
          </a:custGeom>
          <a:solidFill>
            <a:srgbClr val="00B050"/>
          </a:solidFill>
          <a:ln w="2857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none" lIns="91440" tIns="45720" rIns="91440" bIns="45720" anchor="t" upright="1"/>
          <a:lstStyle/>
          <a:p>
            <a:pPr algn="l" rtl="0">
              <a:defRPr sz="1000"/>
            </a:pPr>
            <a:r>
              <a:rPr lang="en-US" sz="16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Corte Transversal do Silo  </a:t>
            </a:r>
          </a:p>
          <a:p>
            <a:pPr algn="l" rtl="0">
              <a:defRPr sz="1000"/>
            </a:pPr>
            <a:r>
              <a:rPr lang="en-US" sz="2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    (fora de escala)</a:t>
            </a:r>
          </a:p>
        </xdr:txBody>
      </xdr:sp>
      <xdr:sp macro="" textlink="">
        <xdr:nvSpPr>
          <xdr:cNvPr id="31" name="Text Box 4"/>
          <xdr:cNvSpPr txBox="1">
            <a:spLocks noChangeArrowheads="1"/>
          </xdr:cNvSpPr>
        </xdr:nvSpPr>
        <xdr:spPr bwMode="auto">
          <a:xfrm>
            <a:off x="11413466" y="11031294"/>
            <a:ext cx="1233854" cy="64027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91440" tIns="45720" rIns="91440" bIns="45720" anchor="t" upright="1">
            <a:noAutofit/>
          </a:bodyPr>
          <a:lstStyle/>
          <a:p>
            <a:pPr algn="l" rtl="0">
              <a:defRPr sz="1000"/>
            </a:pPr>
            <a:r>
              <a:rPr lang="en-US" sz="1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Largura Topo</a:t>
            </a:r>
          </a:p>
          <a:p>
            <a:pPr algn="l" rtl="0">
              <a:defRPr sz="1000"/>
            </a:pPr>
            <a:endParaRPr lang="en-US" sz="1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32" name="Line 5"/>
          <xdr:cNvSpPr>
            <a:spLocks noChangeShapeType="1"/>
          </xdr:cNvSpPr>
        </xdr:nvSpPr>
        <xdr:spPr bwMode="auto">
          <a:xfrm flipH="1">
            <a:off x="11002767" y="11240377"/>
            <a:ext cx="37015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" name="Line 6"/>
          <xdr:cNvSpPr>
            <a:spLocks noChangeShapeType="1"/>
          </xdr:cNvSpPr>
        </xdr:nvSpPr>
        <xdr:spPr bwMode="auto">
          <a:xfrm>
            <a:off x="12749146" y="11240377"/>
            <a:ext cx="70111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" name="Line 7"/>
          <xdr:cNvSpPr>
            <a:spLocks noChangeShapeType="1"/>
          </xdr:cNvSpPr>
        </xdr:nvSpPr>
        <xdr:spPr bwMode="auto">
          <a:xfrm flipV="1">
            <a:off x="13650581" y="12365800"/>
            <a:ext cx="80879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" name="Line 8"/>
          <xdr:cNvSpPr>
            <a:spLocks noChangeShapeType="1"/>
          </xdr:cNvSpPr>
        </xdr:nvSpPr>
        <xdr:spPr bwMode="auto">
          <a:xfrm>
            <a:off x="14446566" y="12356011"/>
            <a:ext cx="5176" cy="101023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" name="Text Box 10"/>
          <xdr:cNvSpPr txBox="1">
            <a:spLocks noChangeArrowheads="1"/>
          </xdr:cNvSpPr>
        </xdr:nvSpPr>
        <xdr:spPr bwMode="auto">
          <a:xfrm>
            <a:off x="14410034" y="12541432"/>
            <a:ext cx="313209" cy="64027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91440" tIns="45720" rIns="91440" bIns="45720" anchor="t" upright="1">
            <a:noAutofit/>
          </a:bodyPr>
          <a:lstStyle/>
          <a:p>
            <a:pPr algn="l" rtl="0">
              <a:defRPr sz="1000"/>
            </a:pPr>
            <a:r>
              <a:rPr lang="en-US" sz="1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  <a:p>
            <a:pPr algn="l" rtl="0"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Componente Vertical</a:t>
            </a:r>
          </a:p>
        </xdr:txBody>
      </xdr:sp>
      <xdr:sp macro="" textlink="">
        <xdr:nvSpPr>
          <xdr:cNvPr id="37" name="Line 11"/>
          <xdr:cNvSpPr>
            <a:spLocks noChangeShapeType="1"/>
          </xdr:cNvSpPr>
        </xdr:nvSpPr>
        <xdr:spPr bwMode="auto">
          <a:xfrm flipH="1">
            <a:off x="7955468" y="12064976"/>
            <a:ext cx="274358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" name="Line 12"/>
          <xdr:cNvSpPr>
            <a:spLocks noChangeShapeType="1"/>
          </xdr:cNvSpPr>
        </xdr:nvSpPr>
        <xdr:spPr bwMode="auto">
          <a:xfrm flipH="1">
            <a:off x="7879537" y="13668375"/>
            <a:ext cx="195502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" name="Text Box 13"/>
          <xdr:cNvSpPr txBox="1">
            <a:spLocks noChangeArrowheads="1"/>
          </xdr:cNvSpPr>
        </xdr:nvSpPr>
        <xdr:spPr bwMode="auto">
          <a:xfrm>
            <a:off x="7611481" y="12473257"/>
            <a:ext cx="844716" cy="64027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91440" tIns="45720" rIns="91440" bIns="45720" anchor="t" upright="1">
            <a:noAutofit/>
          </a:bodyPr>
          <a:lstStyle/>
          <a:p>
            <a:pPr algn="l" rtl="0">
              <a:defRPr sz="1000"/>
            </a:pPr>
            <a:r>
              <a:rPr lang="en-US" sz="1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Altura</a:t>
            </a:r>
          </a:p>
          <a:p>
            <a:pPr algn="l" rtl="0">
              <a:defRPr sz="1000"/>
            </a:pPr>
            <a:endParaRPr lang="en-US" sz="1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en-US" sz="1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40" name="Line 14"/>
          <xdr:cNvSpPr>
            <a:spLocks noChangeShapeType="1"/>
          </xdr:cNvSpPr>
        </xdr:nvSpPr>
        <xdr:spPr bwMode="auto">
          <a:xfrm>
            <a:off x="8031398" y="13170908"/>
            <a:ext cx="0" cy="50446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14457174" y="12300011"/>
            <a:ext cx="835224" cy="32028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91440" tIns="45720" rIns="91440" bIns="45720" anchor="t" upright="1">
            <a:noAutofit/>
          </a:bodyPr>
          <a:lstStyle/>
          <a:p>
            <a:pPr algn="l" rtl="0">
              <a:defRPr sz="1000"/>
            </a:pPr>
            <a:r>
              <a:rPr lang="en-US" sz="1800" b="0" i="0" u="none" strike="noStrike" baseline="0">
                <a:solidFill>
                  <a:sysClr val="windowText" lastClr="000000"/>
                </a:solidFill>
                <a:latin typeface="Arial"/>
                <a:cs typeface="Arial"/>
              </a:rPr>
              <a:t>Declive</a:t>
            </a:r>
            <a:endParaRPr lang="en-US" sz="1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 flipV="1">
            <a:off x="14641276" y="13714174"/>
            <a:ext cx="0" cy="84400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" name="Line 18"/>
          <xdr:cNvSpPr>
            <a:spLocks noChangeShapeType="1"/>
          </xdr:cNvSpPr>
        </xdr:nvSpPr>
        <xdr:spPr bwMode="auto">
          <a:xfrm>
            <a:off x="12999251" y="14333726"/>
            <a:ext cx="161368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4" name="Line 19"/>
          <xdr:cNvSpPr>
            <a:spLocks noChangeShapeType="1"/>
          </xdr:cNvSpPr>
        </xdr:nvSpPr>
        <xdr:spPr bwMode="auto">
          <a:xfrm flipV="1">
            <a:off x="9845206" y="13685071"/>
            <a:ext cx="0" cy="84400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 flipH="1">
            <a:off x="9865202" y="14298008"/>
            <a:ext cx="151859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" name="Text Box 21"/>
          <xdr:cNvSpPr txBox="1">
            <a:spLocks noChangeArrowheads="1"/>
          </xdr:cNvSpPr>
        </xdr:nvSpPr>
        <xdr:spPr bwMode="auto">
          <a:xfrm>
            <a:off x="11400043" y="14120608"/>
            <a:ext cx="1887514" cy="64027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91440" tIns="45720" rIns="91440" bIns="45720" anchor="t" upright="1">
            <a:noAutofit/>
          </a:bodyPr>
          <a:lstStyle/>
          <a:p>
            <a:pPr algn="l" rtl="0">
              <a:defRPr sz="1000"/>
            </a:pPr>
            <a:r>
              <a:rPr lang="en-US" sz="1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Largura Inferior</a:t>
            </a:r>
          </a:p>
          <a:p>
            <a:pPr algn="l" rtl="0">
              <a:defRPr sz="1000"/>
            </a:pPr>
            <a:endParaRPr lang="en-US" sz="1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47" name="Text Box 23"/>
          <xdr:cNvSpPr txBox="1">
            <a:spLocks noChangeArrowheads="1"/>
          </xdr:cNvSpPr>
        </xdr:nvSpPr>
        <xdr:spPr bwMode="auto">
          <a:xfrm>
            <a:off x="9140719" y="12115295"/>
            <a:ext cx="999637" cy="9119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91440" tIns="45720" rIns="91440" bIns="45720" anchor="t" upright="1">
            <a:noAutofit/>
          </a:bodyPr>
          <a:lstStyle/>
          <a:p>
            <a:pPr algn="l" rtl="0">
              <a:defRPr sz="1000"/>
            </a:pPr>
            <a:r>
              <a:rPr lang="en-US" sz="1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Altura</a:t>
            </a:r>
          </a:p>
          <a:p>
            <a:pPr algn="l" rtl="0">
              <a:defRPr sz="1000"/>
            </a:pPr>
            <a:r>
              <a:rPr lang="en-US" sz="1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Média</a:t>
            </a:r>
          </a:p>
          <a:p>
            <a:pPr algn="l" rtl="0">
              <a:defRPr sz="1000"/>
            </a:pPr>
            <a:endParaRPr lang="en-US" sz="1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48" name="Line 24"/>
          <xdr:cNvSpPr>
            <a:spLocks noChangeShapeType="1"/>
          </xdr:cNvSpPr>
        </xdr:nvSpPr>
        <xdr:spPr bwMode="auto">
          <a:xfrm flipH="1">
            <a:off x="8449010" y="12744058"/>
            <a:ext cx="194632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" name="Line 25"/>
          <xdr:cNvSpPr>
            <a:spLocks noChangeShapeType="1"/>
          </xdr:cNvSpPr>
        </xdr:nvSpPr>
        <xdr:spPr bwMode="auto">
          <a:xfrm>
            <a:off x="9603672" y="13364932"/>
            <a:ext cx="0" cy="32013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" name="Line 26"/>
          <xdr:cNvSpPr>
            <a:spLocks noChangeShapeType="1"/>
          </xdr:cNvSpPr>
        </xdr:nvSpPr>
        <xdr:spPr bwMode="auto">
          <a:xfrm flipV="1">
            <a:off x="9583675" y="12782628"/>
            <a:ext cx="0" cy="27432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" name="Line 27"/>
          <xdr:cNvSpPr>
            <a:spLocks noChangeShapeType="1"/>
          </xdr:cNvSpPr>
        </xdr:nvSpPr>
        <xdr:spPr bwMode="auto">
          <a:xfrm flipH="1" flipV="1">
            <a:off x="7993433" y="12064976"/>
            <a:ext cx="9491" cy="43655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14</xdr:col>
      <xdr:colOff>458933</xdr:colOff>
      <xdr:row>66</xdr:row>
      <xdr:rowOff>146340</xdr:rowOff>
    </xdr:from>
    <xdr:to>
      <xdr:col>16</xdr:col>
      <xdr:colOff>614795</xdr:colOff>
      <xdr:row>68</xdr:row>
      <xdr:rowOff>51955</xdr:rowOff>
    </xdr:to>
    <xdr:sp macro="" textlink="">
      <xdr:nvSpPr>
        <xdr:cNvPr id="53" name="Text Box 10"/>
        <xdr:cNvSpPr txBox="1">
          <a:spLocks noChangeArrowheads="1"/>
        </xdr:cNvSpPr>
      </xdr:nvSpPr>
      <xdr:spPr bwMode="auto">
        <a:xfrm>
          <a:off x="15655638" y="11749522"/>
          <a:ext cx="1610589" cy="234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noAutofit/>
        </a:bodyPr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Componente Horizontal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831046</xdr:colOff>
      <xdr:row>62</xdr:row>
      <xdr:rowOff>19050</xdr:rowOff>
    </xdr:from>
    <xdr:to>
      <xdr:col>16</xdr:col>
      <xdr:colOff>599294</xdr:colOff>
      <xdr:row>83</xdr:row>
      <xdr:rowOff>97279</xdr:rowOff>
    </xdr:to>
    <xdr:grpSp>
      <xdr:nvGrpSpPr>
        <xdr:cNvPr id="27" name="Group 26"/>
        <xdr:cNvGrpSpPr/>
      </xdr:nvGrpSpPr>
      <xdr:grpSpPr>
        <a:xfrm>
          <a:off x="9534515" y="11091863"/>
          <a:ext cx="8686029" cy="3816791"/>
          <a:chOff x="10441496" y="8604250"/>
          <a:chExt cx="5887901" cy="3724143"/>
        </a:xfrm>
      </xdr:grpSpPr>
      <xdr:sp macro="" textlink="">
        <xdr:nvSpPr>
          <xdr:cNvPr id="28" name="Line 2"/>
          <xdr:cNvSpPr>
            <a:spLocks noChangeShapeType="1"/>
          </xdr:cNvSpPr>
        </xdr:nvSpPr>
        <xdr:spPr bwMode="auto">
          <a:xfrm flipV="1">
            <a:off x="12877369" y="8604250"/>
            <a:ext cx="0" cy="94997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" name="Line 3"/>
          <xdr:cNvSpPr>
            <a:spLocks noChangeShapeType="1"/>
          </xdr:cNvSpPr>
        </xdr:nvSpPr>
        <xdr:spPr bwMode="auto">
          <a:xfrm flipV="1">
            <a:off x="14989053" y="8604250"/>
            <a:ext cx="0" cy="94997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 fLocksText="0">
        <xdr:nvSpPr>
          <xdr:cNvPr id="30" name="AutoShape 1"/>
          <xdr:cNvSpPr>
            <a:spLocks noChangeArrowheads="1"/>
          </xdr:cNvSpPr>
        </xdr:nvSpPr>
        <xdr:spPr bwMode="auto">
          <a:xfrm rot="10800000">
            <a:off x="11835737" y="9658138"/>
            <a:ext cx="4223366" cy="1592891"/>
          </a:xfrm>
          <a:custGeom>
            <a:avLst/>
            <a:gdLst>
              <a:gd name="G0" fmla="+- 5400 0 0"/>
              <a:gd name="G1" fmla="+- 21600 0 5400"/>
              <a:gd name="G2" fmla="*/ 5400 1 2"/>
              <a:gd name="G3" fmla="+- 21600 0 G2"/>
              <a:gd name="G4" fmla="+/ 5400 21600 2"/>
              <a:gd name="G5" fmla="+/ G1 0 2"/>
              <a:gd name="G6" fmla="*/ 21600 21600 5400"/>
              <a:gd name="G7" fmla="*/ G6 1 2"/>
              <a:gd name="G8" fmla="+- 21600 0 G7"/>
              <a:gd name="G9" fmla="*/ 21600 1 2"/>
              <a:gd name="G10" fmla="+- 5400 0 G9"/>
              <a:gd name="G11" fmla="?: G10 G8 0"/>
              <a:gd name="G12" fmla="?: G10 G7 21600"/>
              <a:gd name="T0" fmla="*/ 18900 w 21600"/>
              <a:gd name="T1" fmla="*/ 10800 h 21600"/>
              <a:gd name="T2" fmla="*/ 10800 w 21600"/>
              <a:gd name="T3" fmla="*/ 21600 h 21600"/>
              <a:gd name="T4" fmla="*/ 2700 w 21600"/>
              <a:gd name="T5" fmla="*/ 10800 h 21600"/>
              <a:gd name="T6" fmla="*/ 10800 w 21600"/>
              <a:gd name="T7" fmla="*/ 0 h 21600"/>
              <a:gd name="T8" fmla="*/ 4500 w 21600"/>
              <a:gd name="T9" fmla="*/ 4500 h 21600"/>
              <a:gd name="T10" fmla="*/ 17100 w 21600"/>
              <a:gd name="T11" fmla="*/ 17100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T8" t="T9" r="T10" b="T11"/>
            <a:pathLst>
              <a:path w="21600" h="21600">
                <a:moveTo>
                  <a:pt x="0" y="0"/>
                </a:moveTo>
                <a:lnTo>
                  <a:pt x="5400" y="21600"/>
                </a:lnTo>
                <a:lnTo>
                  <a:pt x="16200" y="21600"/>
                </a:lnTo>
                <a:lnTo>
                  <a:pt x="21600" y="0"/>
                </a:lnTo>
                <a:close/>
              </a:path>
            </a:pathLst>
          </a:custGeom>
          <a:solidFill>
            <a:srgbClr val="00B050"/>
          </a:solidFill>
          <a:ln w="2857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none" lIns="91440" tIns="45720" rIns="91440" bIns="45720" anchor="t" upright="1"/>
          <a:lstStyle/>
          <a:p>
            <a:pPr algn="l" rtl="0">
              <a:defRPr sz="1000"/>
            </a:pPr>
            <a:r>
              <a:rPr lang="en-US" sz="2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Corte Frontal del Montículo</a:t>
            </a:r>
          </a:p>
          <a:p>
            <a:pPr algn="l" rtl="0">
              <a:defRPr sz="1000"/>
            </a:pPr>
            <a:r>
              <a:rPr lang="en-US" sz="2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    (no en escala)</a:t>
            </a:r>
          </a:p>
        </xdr:txBody>
      </xdr:sp>
      <xdr:sp macro="" textlink="">
        <xdr:nvSpPr>
          <xdr:cNvPr id="31" name="Text Box 4"/>
          <xdr:cNvSpPr txBox="1">
            <a:spLocks noChangeArrowheads="1"/>
          </xdr:cNvSpPr>
        </xdr:nvSpPr>
        <xdr:spPr bwMode="auto">
          <a:xfrm>
            <a:off x="13255418" y="8646165"/>
            <a:ext cx="1225530" cy="6333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91440" tIns="45720" rIns="91440" bIns="45720" anchor="t" upright="1">
            <a:noAutofit/>
          </a:bodyPr>
          <a:lstStyle/>
          <a:p>
            <a:pPr algn="l" rtl="0">
              <a:defRPr sz="1000"/>
            </a:pPr>
            <a:r>
              <a:rPr lang="en-US" sz="1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Ancho del Tope</a:t>
            </a:r>
          </a:p>
          <a:p>
            <a:pPr algn="l" rtl="0">
              <a:defRPr sz="1000"/>
            </a:pPr>
            <a:endParaRPr lang="en-US" sz="1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32" name="Line 5"/>
          <xdr:cNvSpPr>
            <a:spLocks noChangeShapeType="1"/>
          </xdr:cNvSpPr>
        </xdr:nvSpPr>
        <xdr:spPr bwMode="auto">
          <a:xfrm flipH="1">
            <a:off x="12877369" y="8824952"/>
            <a:ext cx="367659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" name="Line 6"/>
          <xdr:cNvSpPr>
            <a:spLocks noChangeShapeType="1"/>
          </xdr:cNvSpPr>
        </xdr:nvSpPr>
        <xdr:spPr bwMode="auto">
          <a:xfrm>
            <a:off x="14611966" y="8824952"/>
            <a:ext cx="37708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" name="Line 7"/>
          <xdr:cNvSpPr>
            <a:spLocks noChangeShapeType="1"/>
          </xdr:cNvSpPr>
        </xdr:nvSpPr>
        <xdr:spPr bwMode="auto">
          <a:xfrm>
            <a:off x="15130460" y="9928461"/>
            <a:ext cx="45250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" name="Line 8"/>
          <xdr:cNvSpPr>
            <a:spLocks noChangeShapeType="1"/>
          </xdr:cNvSpPr>
        </xdr:nvSpPr>
        <xdr:spPr bwMode="auto">
          <a:xfrm>
            <a:off x="15582964" y="9928461"/>
            <a:ext cx="0" cy="60453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" name="Text Box 10"/>
          <xdr:cNvSpPr txBox="1">
            <a:spLocks noChangeArrowheads="1"/>
          </xdr:cNvSpPr>
        </xdr:nvSpPr>
        <xdr:spPr bwMode="auto">
          <a:xfrm>
            <a:off x="15564109" y="10110780"/>
            <a:ext cx="311096" cy="6333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91440" tIns="45720" rIns="91440" bIns="45720" anchor="t" upright="1">
            <a:noAutofit/>
          </a:bodyPr>
          <a:lstStyle/>
          <a:p>
            <a:pPr algn="l" rtl="0">
              <a:defRPr sz="1000"/>
            </a:pPr>
            <a:r>
              <a:rPr lang="en-US" sz="1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  <a:p>
            <a:pPr algn="l" rtl="0">
              <a:defRPr sz="1000"/>
            </a:pPr>
            <a:endParaRPr lang="en-US" sz="1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37" name="Line 11"/>
          <xdr:cNvSpPr>
            <a:spLocks noChangeShapeType="1"/>
          </xdr:cNvSpPr>
        </xdr:nvSpPr>
        <xdr:spPr bwMode="auto">
          <a:xfrm flipH="1">
            <a:off x="10690269" y="9640589"/>
            <a:ext cx="188543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" name="Line 12"/>
          <xdr:cNvSpPr>
            <a:spLocks noChangeShapeType="1"/>
          </xdr:cNvSpPr>
        </xdr:nvSpPr>
        <xdr:spPr bwMode="auto">
          <a:xfrm flipH="1">
            <a:off x="10614852" y="11233480"/>
            <a:ext cx="98042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" name="Text Box 13"/>
          <xdr:cNvSpPr txBox="1">
            <a:spLocks noChangeArrowheads="1"/>
          </xdr:cNvSpPr>
        </xdr:nvSpPr>
        <xdr:spPr bwMode="auto">
          <a:xfrm>
            <a:off x="10441496" y="10091588"/>
            <a:ext cx="839017" cy="6333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91440" tIns="45720" rIns="91440" bIns="45720" anchor="t" upright="1">
            <a:noAutofit/>
          </a:bodyPr>
          <a:lstStyle/>
          <a:p>
            <a:pPr algn="l" rtl="0">
              <a:defRPr sz="1000"/>
            </a:pPr>
            <a:r>
              <a:rPr lang="en-US" sz="1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Altura</a:t>
            </a:r>
          </a:p>
          <a:p>
            <a:pPr algn="l" rtl="0">
              <a:defRPr sz="1000"/>
            </a:pPr>
            <a:endParaRPr lang="en-US" sz="1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40" name="Line 14"/>
          <xdr:cNvSpPr>
            <a:spLocks noChangeShapeType="1"/>
          </xdr:cNvSpPr>
        </xdr:nvSpPr>
        <xdr:spPr bwMode="auto">
          <a:xfrm>
            <a:off x="10765686" y="10734502"/>
            <a:ext cx="0" cy="49897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15499807" y="9602206"/>
            <a:ext cx="829590" cy="6333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91440" tIns="45720" rIns="91440" bIns="45720" anchor="t" upright="1">
            <a:noAutofit/>
          </a:bodyPr>
          <a:lstStyle/>
          <a:p>
            <a:pPr algn="l" rtl="0">
              <a:defRPr sz="1000"/>
            </a:pPr>
            <a:r>
              <a:rPr lang="en-US" sz="1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Pendiente </a:t>
            </a:r>
          </a:p>
          <a:p>
            <a:pPr algn="l" rtl="0">
              <a:defRPr sz="1000"/>
            </a:pPr>
            <a:endParaRPr lang="en-US" sz="1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 flipV="1">
            <a:off x="16092030" y="11271863"/>
            <a:ext cx="0" cy="83482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" name="Line 18"/>
          <xdr:cNvSpPr>
            <a:spLocks noChangeShapeType="1"/>
          </xdr:cNvSpPr>
        </xdr:nvSpPr>
        <xdr:spPr bwMode="auto">
          <a:xfrm>
            <a:off x="14630821" y="11943564"/>
            <a:ext cx="144235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4" name="Line 19"/>
          <xdr:cNvSpPr>
            <a:spLocks noChangeShapeType="1"/>
          </xdr:cNvSpPr>
        </xdr:nvSpPr>
        <xdr:spPr bwMode="auto">
          <a:xfrm flipV="1">
            <a:off x="11821528" y="11243076"/>
            <a:ext cx="0" cy="83482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 flipH="1">
            <a:off x="11830955" y="11943564"/>
            <a:ext cx="150834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" name="Text Box 21"/>
          <xdr:cNvSpPr txBox="1">
            <a:spLocks noChangeArrowheads="1"/>
          </xdr:cNvSpPr>
        </xdr:nvSpPr>
        <xdr:spPr bwMode="auto">
          <a:xfrm>
            <a:off x="13246602" y="11695075"/>
            <a:ext cx="1555481" cy="6333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91440" tIns="45720" rIns="91440" bIns="45720" anchor="t" upright="1">
            <a:noAutofit/>
          </a:bodyPr>
          <a:lstStyle/>
          <a:p>
            <a:pPr algn="l" rtl="0">
              <a:defRPr sz="1000"/>
            </a:pPr>
            <a:r>
              <a:rPr lang="en-US" sz="1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Ancho de la Base</a:t>
            </a:r>
          </a:p>
          <a:p>
            <a:pPr algn="l" rtl="0">
              <a:defRPr sz="1000"/>
            </a:pPr>
            <a:endParaRPr lang="en-US" sz="1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47" name="Text Box 23"/>
          <xdr:cNvSpPr txBox="1">
            <a:spLocks noChangeArrowheads="1"/>
          </xdr:cNvSpPr>
        </xdr:nvSpPr>
        <xdr:spPr bwMode="auto">
          <a:xfrm>
            <a:off x="11132123" y="9749695"/>
            <a:ext cx="839017" cy="9019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BBE0E3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91440" tIns="45720" rIns="91440" bIns="45720" anchor="t" upright="1">
            <a:noAutofit/>
          </a:bodyPr>
          <a:lstStyle/>
          <a:p>
            <a:pPr algn="l" rtl="0">
              <a:defRPr sz="1000"/>
            </a:pPr>
            <a:r>
              <a:rPr lang="en-US" sz="1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Altura</a:t>
            </a:r>
          </a:p>
          <a:p>
            <a:pPr algn="l" rtl="0">
              <a:defRPr sz="1000"/>
            </a:pPr>
            <a:r>
              <a:rPr lang="en-US" sz="1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Promedio</a:t>
            </a:r>
          </a:p>
        </xdr:txBody>
      </xdr:sp>
      <xdr:sp macro="" textlink="">
        <xdr:nvSpPr>
          <xdr:cNvPr id="48" name="Line 24"/>
          <xdr:cNvSpPr>
            <a:spLocks noChangeShapeType="1"/>
          </xdr:cNvSpPr>
        </xdr:nvSpPr>
        <xdr:spPr bwMode="auto">
          <a:xfrm flipH="1">
            <a:off x="11180481" y="10312290"/>
            <a:ext cx="109355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" name="Line 25"/>
          <xdr:cNvSpPr>
            <a:spLocks noChangeShapeType="1"/>
          </xdr:cNvSpPr>
        </xdr:nvSpPr>
        <xdr:spPr bwMode="auto">
          <a:xfrm>
            <a:off x="11482150" y="10926417"/>
            <a:ext cx="0" cy="31665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" name="Line 26"/>
          <xdr:cNvSpPr>
            <a:spLocks noChangeShapeType="1"/>
          </xdr:cNvSpPr>
        </xdr:nvSpPr>
        <xdr:spPr bwMode="auto">
          <a:xfrm flipH="1" flipV="1">
            <a:off x="11486150" y="10312290"/>
            <a:ext cx="0" cy="29746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" name="Line 27"/>
          <xdr:cNvSpPr>
            <a:spLocks noChangeShapeType="1"/>
          </xdr:cNvSpPr>
        </xdr:nvSpPr>
        <xdr:spPr bwMode="auto">
          <a:xfrm flipH="1" flipV="1">
            <a:off x="10768330" y="9640589"/>
            <a:ext cx="0" cy="43180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109"/>
  <sheetViews>
    <sheetView tabSelected="1" zoomScale="80" zoomScaleNormal="80" workbookViewId="0">
      <selection activeCell="U50" sqref="U50"/>
    </sheetView>
  </sheetViews>
  <sheetFormatPr defaultRowHeight="12.75" x14ac:dyDescent="0.2"/>
  <cols>
    <col min="1" max="1" width="50.85546875" customWidth="1"/>
    <col min="2" max="2" width="11.85546875" customWidth="1"/>
    <col min="3" max="3" width="11" style="1" customWidth="1"/>
    <col min="4" max="4" width="10.140625" customWidth="1"/>
    <col min="5" max="5" width="15.140625" customWidth="1"/>
    <col min="8" max="8" width="18.28515625" customWidth="1"/>
    <col min="9" max="9" width="17.7109375" customWidth="1"/>
    <col min="10" max="10" width="12.140625" customWidth="1"/>
    <col min="12" max="12" width="10.28515625" customWidth="1"/>
    <col min="13" max="13" width="11" customWidth="1"/>
    <col min="14" max="14" width="15.42578125" customWidth="1"/>
    <col min="15" max="15" width="13.7109375" customWidth="1"/>
    <col min="16" max="16" width="12.5703125" customWidth="1"/>
    <col min="17" max="17" width="15.7109375" customWidth="1"/>
    <col min="18" max="18" width="13.85546875" customWidth="1"/>
    <col min="19" max="19" width="16.7109375" customWidth="1"/>
    <col min="20" max="20" width="18" customWidth="1"/>
  </cols>
  <sheetData>
    <row r="1" spans="1:21" ht="20.25" x14ac:dyDescent="0.3">
      <c r="A1" s="18" t="s">
        <v>15</v>
      </c>
      <c r="B1" s="107" t="s">
        <v>84</v>
      </c>
      <c r="C1" s="17"/>
      <c r="D1" s="16"/>
      <c r="E1" s="16"/>
      <c r="F1" s="16"/>
      <c r="G1" s="16"/>
      <c r="H1" s="16"/>
      <c r="I1" s="108"/>
    </row>
    <row r="2" spans="1:21" x14ac:dyDescent="0.2">
      <c r="A2" s="2"/>
      <c r="B2" s="144" t="s">
        <v>268</v>
      </c>
      <c r="C2" s="17"/>
      <c r="D2" s="16"/>
      <c r="E2" s="16"/>
      <c r="F2" s="16"/>
      <c r="G2" s="16"/>
      <c r="H2" s="16"/>
      <c r="I2" s="108"/>
    </row>
    <row r="3" spans="1:21" x14ac:dyDescent="0.2">
      <c r="A3" s="2" t="s">
        <v>4</v>
      </c>
      <c r="B3" s="16" t="s">
        <v>10</v>
      </c>
      <c r="C3" s="17"/>
      <c r="D3" s="16"/>
      <c r="E3" s="16"/>
      <c r="F3" s="16"/>
      <c r="G3" s="16"/>
      <c r="H3" s="16"/>
      <c r="I3" s="108"/>
    </row>
    <row r="4" spans="1:21" x14ac:dyDescent="0.2">
      <c r="A4" s="2" t="s">
        <v>115</v>
      </c>
      <c r="B4" s="16" t="s">
        <v>11</v>
      </c>
      <c r="C4" s="17"/>
      <c r="D4" s="108"/>
      <c r="E4" s="16"/>
      <c r="F4" s="16"/>
      <c r="G4" s="16"/>
      <c r="H4" s="16"/>
      <c r="I4" s="108"/>
    </row>
    <row r="5" spans="1:21" x14ac:dyDescent="0.2">
      <c r="A5" s="8" t="s">
        <v>62</v>
      </c>
      <c r="B5" s="16" t="s">
        <v>7</v>
      </c>
      <c r="C5" s="17"/>
      <c r="D5" s="16"/>
      <c r="E5" s="16"/>
      <c r="F5" s="16"/>
      <c r="G5" s="16"/>
      <c r="H5" s="16"/>
      <c r="I5" s="108"/>
    </row>
    <row r="6" spans="1:21" x14ac:dyDescent="0.2">
      <c r="A6" s="8"/>
      <c r="B6" s="16" t="s">
        <v>12</v>
      </c>
      <c r="C6" s="17"/>
      <c r="D6" s="16"/>
      <c r="E6" s="16"/>
      <c r="F6" s="16"/>
      <c r="G6" s="16"/>
      <c r="H6" s="16"/>
      <c r="I6" s="108"/>
    </row>
    <row r="7" spans="1:21" x14ac:dyDescent="0.2">
      <c r="A7" s="147" t="s">
        <v>9</v>
      </c>
      <c r="B7" s="148"/>
      <c r="C7" s="149"/>
      <c r="D7" s="149"/>
      <c r="E7" s="149"/>
      <c r="F7" s="149"/>
      <c r="G7" s="149"/>
      <c r="H7" s="150"/>
    </row>
    <row r="8" spans="1:21" x14ac:dyDescent="0.2">
      <c r="A8" s="147" t="s">
        <v>3</v>
      </c>
      <c r="B8" s="151"/>
      <c r="C8" s="152"/>
      <c r="D8" s="152"/>
      <c r="E8" s="152"/>
      <c r="F8" s="152"/>
      <c r="G8" s="152"/>
      <c r="H8" s="153"/>
    </row>
    <row r="9" spans="1:21" x14ac:dyDescent="0.2">
      <c r="A9" s="2"/>
      <c r="B9" s="6"/>
      <c r="C9" s="3"/>
      <c r="D9" s="3"/>
    </row>
    <row r="10" spans="1:21" x14ac:dyDescent="0.2">
      <c r="A10" s="19" t="s">
        <v>252</v>
      </c>
      <c r="B10" s="20" t="s">
        <v>8</v>
      </c>
      <c r="C10" s="185" t="s">
        <v>14</v>
      </c>
      <c r="D10" s="185" t="s">
        <v>277</v>
      </c>
      <c r="E10" s="204"/>
      <c r="F10" s="174"/>
    </row>
    <row r="11" spans="1:21" x14ac:dyDescent="0.2">
      <c r="B11" s="29"/>
      <c r="C11" s="146" t="s">
        <v>278</v>
      </c>
      <c r="D11" s="34"/>
      <c r="E11" s="35"/>
      <c r="F11" s="35"/>
      <c r="G11" s="32"/>
    </row>
    <row r="12" spans="1:21" ht="18" x14ac:dyDescent="0.25">
      <c r="A12" s="104" t="s">
        <v>29</v>
      </c>
      <c r="B12" s="36"/>
      <c r="C12" s="34"/>
      <c r="D12" s="34"/>
      <c r="E12" s="35"/>
      <c r="F12" s="35"/>
      <c r="I12" s="30" t="s">
        <v>17</v>
      </c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2"/>
    </row>
    <row r="13" spans="1:21" x14ac:dyDescent="0.2">
      <c r="A13" s="37" t="s">
        <v>31</v>
      </c>
      <c r="B13" s="37" t="s">
        <v>31</v>
      </c>
      <c r="C13" s="187" t="s">
        <v>31</v>
      </c>
      <c r="D13" s="187" t="s">
        <v>31</v>
      </c>
      <c r="E13" s="187" t="s">
        <v>31</v>
      </c>
      <c r="F13" s="187" t="s">
        <v>31</v>
      </c>
      <c r="I13" s="33" t="s">
        <v>18</v>
      </c>
      <c r="J13" s="33" t="s">
        <v>18</v>
      </c>
      <c r="K13" s="33" t="s">
        <v>18</v>
      </c>
      <c r="L13" s="33" t="s">
        <v>18</v>
      </c>
      <c r="M13" s="33" t="s">
        <v>18</v>
      </c>
      <c r="N13" s="33" t="s">
        <v>18</v>
      </c>
      <c r="O13" s="33" t="s">
        <v>18</v>
      </c>
      <c r="P13" s="33" t="s">
        <v>18</v>
      </c>
      <c r="Q13" s="33" t="s">
        <v>18</v>
      </c>
      <c r="R13" s="33" t="s">
        <v>18</v>
      </c>
      <c r="S13" s="33" t="s">
        <v>18</v>
      </c>
      <c r="T13" s="33" t="s">
        <v>18</v>
      </c>
      <c r="U13" s="32"/>
    </row>
    <row r="14" spans="1:21" x14ac:dyDescent="0.2">
      <c r="A14" s="42"/>
      <c r="B14" s="36"/>
      <c r="C14" s="34"/>
      <c r="D14" s="43"/>
      <c r="E14" s="205"/>
      <c r="F14" s="44"/>
      <c r="I14" s="31"/>
      <c r="J14" s="31"/>
      <c r="K14" s="31"/>
      <c r="L14" s="31" t="s">
        <v>19</v>
      </c>
      <c r="M14" s="31" t="s">
        <v>20</v>
      </c>
      <c r="N14" s="31" t="s">
        <v>21</v>
      </c>
      <c r="O14" s="31" t="s">
        <v>22</v>
      </c>
      <c r="P14" s="31"/>
      <c r="Q14" s="31" t="s">
        <v>19</v>
      </c>
      <c r="R14" s="31" t="s">
        <v>20</v>
      </c>
      <c r="S14" s="31" t="s">
        <v>21</v>
      </c>
      <c r="T14" s="31" t="s">
        <v>22</v>
      </c>
      <c r="U14" s="32"/>
    </row>
    <row r="15" spans="1:21" x14ac:dyDescent="0.2">
      <c r="A15" s="42"/>
      <c r="B15" s="45"/>
      <c r="C15" s="46"/>
      <c r="D15" s="47"/>
      <c r="E15" s="48"/>
      <c r="F15" s="48"/>
      <c r="G15" s="49"/>
      <c r="I15" s="31"/>
      <c r="J15" s="31" t="s">
        <v>5</v>
      </c>
      <c r="K15" s="31"/>
      <c r="L15" s="31" t="s">
        <v>23</v>
      </c>
      <c r="M15" s="31" t="s">
        <v>23</v>
      </c>
      <c r="N15" s="31" t="s">
        <v>23</v>
      </c>
      <c r="O15" s="31" t="s">
        <v>23</v>
      </c>
      <c r="P15" s="31"/>
      <c r="Q15" s="31" t="s">
        <v>23</v>
      </c>
      <c r="R15" s="31" t="s">
        <v>23</v>
      </c>
      <c r="S15" s="31" t="s">
        <v>23</v>
      </c>
      <c r="T15" s="31" t="s">
        <v>23</v>
      </c>
      <c r="U15" s="32"/>
    </row>
    <row r="16" spans="1:21" x14ac:dyDescent="0.2">
      <c r="A16" s="85" t="s">
        <v>117</v>
      </c>
      <c r="B16" s="36"/>
      <c r="C16" s="34"/>
      <c r="D16" s="34"/>
      <c r="E16" s="50" t="s">
        <v>35</v>
      </c>
      <c r="F16" s="51" t="s">
        <v>114</v>
      </c>
      <c r="I16" s="31"/>
      <c r="J16" s="31" t="s">
        <v>24</v>
      </c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2"/>
    </row>
    <row r="17" spans="1:21" x14ac:dyDescent="0.2">
      <c r="A17" s="42"/>
      <c r="B17" s="36"/>
      <c r="C17" s="34"/>
      <c r="D17" s="34"/>
      <c r="E17" s="200"/>
      <c r="F17" s="51" t="s">
        <v>37</v>
      </c>
      <c r="I17" s="31" t="s">
        <v>25</v>
      </c>
      <c r="J17" s="31" t="s">
        <v>26</v>
      </c>
      <c r="K17" s="31" t="s">
        <v>27</v>
      </c>
      <c r="L17" s="105" t="s">
        <v>80</v>
      </c>
      <c r="M17" s="31"/>
      <c r="N17" s="31"/>
      <c r="O17" s="31"/>
      <c r="P17" s="31"/>
      <c r="Q17" s="31" t="s">
        <v>28</v>
      </c>
      <c r="R17" s="31"/>
      <c r="S17" s="31"/>
      <c r="T17" s="31"/>
      <c r="U17" s="32"/>
    </row>
    <row r="18" spans="1:21" x14ac:dyDescent="0.2">
      <c r="A18" s="42" t="s">
        <v>38</v>
      </c>
      <c r="B18" s="36"/>
      <c r="C18" s="34"/>
      <c r="D18" s="34"/>
      <c r="E18" s="54">
        <f>IF(E16="Corn Silage",T50,IF(E16="Hay 1 Silage",Q50, IF(E16="Hay 2 Silage",R50,IF(E16="Hay 3 Silage", S50,IF(E16="My Silage",F20)))))</f>
        <v>6000</v>
      </c>
      <c r="F18" s="55" t="str">
        <f>IF(E16="My Silage", " ", "From Silage Dry Matter Calculator")</f>
        <v xml:space="preserve"> </v>
      </c>
      <c r="G18" s="56"/>
      <c r="H18" s="56"/>
      <c r="I18" s="33" t="s">
        <v>18</v>
      </c>
      <c r="J18" s="33" t="s">
        <v>18</v>
      </c>
      <c r="K18" s="33" t="s">
        <v>18</v>
      </c>
      <c r="L18" s="33" t="s">
        <v>18</v>
      </c>
      <c r="M18" s="33" t="s">
        <v>18</v>
      </c>
      <c r="N18" s="33" t="s">
        <v>18</v>
      </c>
      <c r="O18" s="33" t="s">
        <v>18</v>
      </c>
      <c r="P18" s="33" t="s">
        <v>18</v>
      </c>
      <c r="Q18" s="33" t="s">
        <v>18</v>
      </c>
      <c r="R18" s="33" t="s">
        <v>18</v>
      </c>
      <c r="S18" s="33" t="s">
        <v>18</v>
      </c>
      <c r="T18" s="33" t="s">
        <v>18</v>
      </c>
      <c r="U18" s="32"/>
    </row>
    <row r="19" spans="1:21" x14ac:dyDescent="0.2">
      <c r="A19" s="42"/>
      <c r="B19" s="36"/>
      <c r="C19" s="34"/>
      <c r="D19" s="34"/>
      <c r="E19" s="200"/>
      <c r="F19" s="55" t="str">
        <f>IF(E16="My Silage", " ", "Table, Row 50")</f>
        <v xml:space="preserve"> </v>
      </c>
      <c r="G19" s="56"/>
      <c r="H19" s="56"/>
      <c r="I19" s="31" t="s">
        <v>30</v>
      </c>
      <c r="J19" s="31"/>
      <c r="K19" s="57">
        <f>SUM(J20:J23)</f>
        <v>68</v>
      </c>
      <c r="L19" s="31"/>
      <c r="M19" s="31"/>
      <c r="N19" s="31"/>
      <c r="O19" s="31"/>
      <c r="P19" s="31"/>
      <c r="Q19" s="31"/>
      <c r="R19" s="31"/>
      <c r="S19" s="31"/>
      <c r="T19" s="31"/>
      <c r="U19" s="32"/>
    </row>
    <row r="20" spans="1:21" x14ac:dyDescent="0.2">
      <c r="A20" s="58" t="str">
        <f>IF(E16="My Silage", "My Silage, if not from Silage Dry Matter Calculator Table (Row 50) (Lbs DM/Herd-Day) =", "  ")</f>
        <v>My Silage, if not from Silage Dry Matter Calculator Table (Row 50) (Lbs DM/Herd-Day) =</v>
      </c>
      <c r="B20" s="59"/>
      <c r="C20" s="59"/>
      <c r="D20" s="34"/>
      <c r="E20" s="200"/>
      <c r="F20" s="60">
        <v>6000</v>
      </c>
      <c r="G20" s="61" t="str">
        <f>IF(E16="My Silage","My Silage","   ")</f>
        <v>My Silage</v>
      </c>
      <c r="I20" s="38" t="s">
        <v>32</v>
      </c>
      <c r="J20" s="39">
        <v>8</v>
      </c>
      <c r="K20" s="40"/>
      <c r="L20" s="39">
        <v>0</v>
      </c>
      <c r="M20" s="39">
        <v>0</v>
      </c>
      <c r="N20" s="39">
        <v>20</v>
      </c>
      <c r="O20" s="39">
        <v>0</v>
      </c>
      <c r="P20" s="31"/>
      <c r="Q20" s="41">
        <f>L20*$J$20</f>
        <v>0</v>
      </c>
      <c r="R20" s="41">
        <f t="shared" ref="R20:T20" si="0">M20*$J$20</f>
        <v>0</v>
      </c>
      <c r="S20" s="41">
        <f t="shared" si="0"/>
        <v>160</v>
      </c>
      <c r="T20" s="41">
        <f t="shared" si="0"/>
        <v>0</v>
      </c>
      <c r="U20" s="32"/>
    </row>
    <row r="21" spans="1:21" x14ac:dyDescent="0.2">
      <c r="A21" s="42" t="s">
        <v>41</v>
      </c>
      <c r="B21" s="36"/>
      <c r="C21" s="34"/>
      <c r="D21" s="34"/>
      <c r="E21" s="62">
        <v>10</v>
      </c>
      <c r="F21" s="35"/>
      <c r="I21" s="38" t="s">
        <v>33</v>
      </c>
      <c r="J21" s="39">
        <v>22</v>
      </c>
      <c r="K21" s="40"/>
      <c r="L21" s="39">
        <v>0</v>
      </c>
      <c r="M21" s="39">
        <v>10</v>
      </c>
      <c r="N21" s="39">
        <v>15</v>
      </c>
      <c r="O21" s="39">
        <v>0</v>
      </c>
      <c r="P21" s="31"/>
      <c r="Q21" s="41">
        <f>L21*$J$21</f>
        <v>0</v>
      </c>
      <c r="R21" s="41">
        <f t="shared" ref="R21:T21" si="1">M21*$J$21</f>
        <v>220</v>
      </c>
      <c r="S21" s="41">
        <f t="shared" si="1"/>
        <v>330</v>
      </c>
      <c r="T21" s="41">
        <f t="shared" si="1"/>
        <v>0</v>
      </c>
      <c r="U21" s="32"/>
    </row>
    <row r="22" spans="1:21" x14ac:dyDescent="0.2">
      <c r="A22" s="42" t="s">
        <v>42</v>
      </c>
      <c r="B22" s="36"/>
      <c r="C22" s="34"/>
      <c r="D22" s="34"/>
      <c r="E22" s="52"/>
      <c r="F22" s="35"/>
      <c r="I22" s="38" t="s">
        <v>34</v>
      </c>
      <c r="J22" s="39">
        <v>22</v>
      </c>
      <c r="K22" s="40"/>
      <c r="L22" s="39">
        <v>0</v>
      </c>
      <c r="M22" s="39">
        <v>10</v>
      </c>
      <c r="N22" s="39">
        <v>15</v>
      </c>
      <c r="O22" s="39">
        <v>0</v>
      </c>
      <c r="P22" s="31"/>
      <c r="Q22" s="41">
        <f>L22*$J$22</f>
        <v>0</v>
      </c>
      <c r="R22" s="41">
        <f t="shared" ref="R22:T22" si="2">M22*$J$22</f>
        <v>220</v>
      </c>
      <c r="S22" s="41">
        <f t="shared" si="2"/>
        <v>330</v>
      </c>
      <c r="T22" s="41">
        <f t="shared" si="2"/>
        <v>0</v>
      </c>
      <c r="U22" s="32"/>
    </row>
    <row r="23" spans="1:21" x14ac:dyDescent="0.2">
      <c r="A23" s="42"/>
      <c r="B23" s="36"/>
      <c r="C23" s="34"/>
      <c r="D23" s="34"/>
      <c r="E23" s="52"/>
      <c r="F23" s="35"/>
      <c r="G23" s="63"/>
      <c r="H23" s="64"/>
      <c r="I23" s="38" t="s">
        <v>36</v>
      </c>
      <c r="J23" s="39">
        <v>16</v>
      </c>
      <c r="K23" s="40"/>
      <c r="L23" s="39">
        <v>0</v>
      </c>
      <c r="M23" s="39">
        <v>20</v>
      </c>
      <c r="N23" s="39">
        <v>0</v>
      </c>
      <c r="O23" s="39">
        <v>3</v>
      </c>
      <c r="P23" s="31"/>
      <c r="Q23" s="41">
        <f>L23*$J$23</f>
        <v>0</v>
      </c>
      <c r="R23" s="41">
        <f t="shared" ref="R23:T23" si="3">M23*$J$23</f>
        <v>320</v>
      </c>
      <c r="S23" s="41">
        <f t="shared" si="3"/>
        <v>0</v>
      </c>
      <c r="T23" s="41">
        <f t="shared" si="3"/>
        <v>48</v>
      </c>
      <c r="U23" s="32"/>
    </row>
    <row r="24" spans="1:21" x14ac:dyDescent="0.2">
      <c r="A24" s="42" t="s">
        <v>44</v>
      </c>
      <c r="B24" s="36"/>
      <c r="C24" s="34"/>
      <c r="D24" s="34"/>
      <c r="E24" s="62">
        <v>5</v>
      </c>
      <c r="F24" s="35"/>
      <c r="G24" s="63"/>
      <c r="H24" s="64"/>
      <c r="I24" s="31"/>
      <c r="J24" s="53"/>
      <c r="K24" s="40"/>
      <c r="L24" s="53"/>
      <c r="M24" s="53"/>
      <c r="N24" s="53"/>
      <c r="O24" s="53"/>
      <c r="P24" s="31"/>
      <c r="Q24" s="41"/>
      <c r="R24" s="41"/>
      <c r="S24" s="41"/>
      <c r="T24" s="41"/>
      <c r="U24" s="32"/>
    </row>
    <row r="25" spans="1:21" x14ac:dyDescent="0.2">
      <c r="A25" s="42" t="s">
        <v>46</v>
      </c>
      <c r="B25" s="36"/>
      <c r="C25" s="34"/>
      <c r="D25" s="34"/>
      <c r="E25" s="52"/>
      <c r="F25" s="35"/>
      <c r="G25" s="63"/>
      <c r="H25" s="64"/>
      <c r="I25" s="31" t="s">
        <v>39</v>
      </c>
      <c r="J25" s="39">
        <v>20</v>
      </c>
      <c r="K25" s="57">
        <f>J25</f>
        <v>20</v>
      </c>
      <c r="L25" s="39">
        <v>15</v>
      </c>
      <c r="M25" s="39">
        <v>10</v>
      </c>
      <c r="N25" s="39">
        <v>0</v>
      </c>
      <c r="O25" s="39">
        <v>3</v>
      </c>
      <c r="P25" s="31"/>
      <c r="Q25" s="41">
        <f>L25*$J$25</f>
        <v>300</v>
      </c>
      <c r="R25" s="41">
        <f t="shared" ref="R25:T25" si="4">M25*$J$25</f>
        <v>200</v>
      </c>
      <c r="S25" s="41">
        <f t="shared" si="4"/>
        <v>0</v>
      </c>
      <c r="T25" s="41">
        <f t="shared" si="4"/>
        <v>60</v>
      </c>
      <c r="U25" s="32"/>
    </row>
    <row r="26" spans="1:21" x14ac:dyDescent="0.2">
      <c r="A26" s="42"/>
      <c r="B26" s="36"/>
      <c r="C26" s="34"/>
      <c r="D26" s="34"/>
      <c r="E26" s="52"/>
      <c r="F26" s="35"/>
      <c r="G26" s="63"/>
      <c r="H26" s="66"/>
      <c r="I26" s="31"/>
      <c r="J26" s="53"/>
      <c r="K26" s="57"/>
      <c r="L26" s="53"/>
      <c r="M26" s="53"/>
      <c r="N26" s="53"/>
      <c r="O26" s="53"/>
      <c r="P26" s="31"/>
      <c r="Q26" s="41"/>
      <c r="R26" s="41"/>
      <c r="S26" s="41"/>
      <c r="T26" s="41"/>
      <c r="U26" s="32"/>
    </row>
    <row r="27" spans="1:21" x14ac:dyDescent="0.2">
      <c r="A27" s="85" t="s">
        <v>63</v>
      </c>
      <c r="B27" s="36"/>
      <c r="C27" s="34"/>
      <c r="D27" s="34"/>
      <c r="E27" s="62">
        <v>44</v>
      </c>
      <c r="F27" s="35"/>
      <c r="G27" s="63"/>
      <c r="H27" s="67"/>
      <c r="I27" s="31" t="s">
        <v>40</v>
      </c>
      <c r="J27" s="39">
        <v>6</v>
      </c>
      <c r="K27" s="57">
        <f>J27</f>
        <v>6</v>
      </c>
      <c r="L27" s="39">
        <v>10</v>
      </c>
      <c r="M27" s="39">
        <v>5</v>
      </c>
      <c r="N27" s="39">
        <v>0</v>
      </c>
      <c r="O27" s="39">
        <v>10</v>
      </c>
      <c r="P27" s="31"/>
      <c r="Q27" s="41">
        <f>L27*$J$27</f>
        <v>60</v>
      </c>
      <c r="R27" s="41">
        <f>M27*$J$27</f>
        <v>30</v>
      </c>
      <c r="S27" s="41">
        <f>N27*$J$27</f>
        <v>0</v>
      </c>
      <c r="T27" s="41">
        <f>O27*$J27</f>
        <v>60</v>
      </c>
      <c r="U27" s="32"/>
    </row>
    <row r="28" spans="1:21" x14ac:dyDescent="0.2">
      <c r="A28" s="42"/>
      <c r="B28" s="36"/>
      <c r="C28" s="34"/>
      <c r="D28" s="34"/>
      <c r="E28" s="52"/>
      <c r="F28" s="35"/>
      <c r="G28" s="68"/>
      <c r="H28" s="67"/>
      <c r="I28" s="31"/>
      <c r="J28" s="53"/>
      <c r="K28" s="57"/>
      <c r="L28" s="53"/>
      <c r="M28" s="53"/>
      <c r="N28" s="53"/>
      <c r="O28" s="53"/>
      <c r="P28" s="31"/>
      <c r="Q28" s="41"/>
      <c r="R28" s="41"/>
      <c r="S28" s="41"/>
      <c r="T28" s="41"/>
      <c r="U28" s="32"/>
    </row>
    <row r="29" spans="1:21" x14ac:dyDescent="0.2">
      <c r="A29" s="42" t="s">
        <v>50</v>
      </c>
      <c r="B29" s="36"/>
      <c r="C29" s="34"/>
      <c r="D29" s="34"/>
      <c r="E29" s="62">
        <v>67</v>
      </c>
      <c r="F29" s="35"/>
      <c r="G29" s="63"/>
      <c r="H29" s="67"/>
      <c r="I29" s="31" t="s">
        <v>43</v>
      </c>
      <c r="J29" s="39">
        <v>110</v>
      </c>
      <c r="K29" s="57">
        <f>J29</f>
        <v>110</v>
      </c>
      <c r="L29" s="39">
        <v>10</v>
      </c>
      <c r="M29" s="39">
        <v>0</v>
      </c>
      <c r="N29" s="39">
        <v>0</v>
      </c>
      <c r="O29" s="39">
        <v>15</v>
      </c>
      <c r="P29" s="31"/>
      <c r="Q29" s="41">
        <f>L29*$J$29</f>
        <v>1100</v>
      </c>
      <c r="R29" s="41">
        <f t="shared" ref="R29:T29" si="5">M29*$J$29</f>
        <v>0</v>
      </c>
      <c r="S29" s="41">
        <f t="shared" si="5"/>
        <v>0</v>
      </c>
      <c r="T29" s="41">
        <f t="shared" si="5"/>
        <v>1650</v>
      </c>
      <c r="U29" s="32"/>
    </row>
    <row r="30" spans="1:21" x14ac:dyDescent="0.2">
      <c r="A30" s="42"/>
      <c r="B30" s="36"/>
      <c r="C30" s="34"/>
      <c r="D30" s="34"/>
      <c r="E30" s="52"/>
      <c r="F30" s="35"/>
      <c r="G30" s="70"/>
      <c r="H30" s="71"/>
      <c r="I30" s="31"/>
      <c r="J30" s="65"/>
      <c r="K30" s="57"/>
      <c r="L30" s="65"/>
      <c r="M30" s="65"/>
      <c r="N30" s="65"/>
      <c r="O30" s="65"/>
      <c r="P30" s="31"/>
      <c r="Q30" s="41"/>
      <c r="R30" s="41"/>
      <c r="S30" s="41"/>
      <c r="T30" s="41"/>
      <c r="U30" s="32"/>
    </row>
    <row r="31" spans="1:21" x14ac:dyDescent="0.2">
      <c r="A31" s="42" t="s">
        <v>53</v>
      </c>
      <c r="B31" s="36"/>
      <c r="C31" s="34"/>
      <c r="D31" s="34"/>
      <c r="E31" s="62">
        <v>12</v>
      </c>
      <c r="F31" s="35"/>
      <c r="G31" s="74"/>
      <c r="H31" s="71"/>
      <c r="I31" s="31" t="s">
        <v>45</v>
      </c>
      <c r="J31" s="65"/>
      <c r="K31" s="57">
        <f>SUM(J32:J34)</f>
        <v>226</v>
      </c>
      <c r="L31" s="65"/>
      <c r="M31" s="65"/>
      <c r="N31" s="65"/>
      <c r="O31" s="65"/>
      <c r="P31" s="31"/>
      <c r="Q31" s="41"/>
      <c r="R31" s="41"/>
      <c r="S31" s="41"/>
      <c r="T31" s="41"/>
      <c r="U31" s="32"/>
    </row>
    <row r="32" spans="1:21" x14ac:dyDescent="0.2">
      <c r="A32" s="42"/>
      <c r="B32" s="36"/>
      <c r="C32" s="34"/>
      <c r="D32" s="34"/>
      <c r="E32" s="52"/>
      <c r="F32" s="35"/>
      <c r="H32" s="75"/>
      <c r="I32" s="38" t="s">
        <v>47</v>
      </c>
      <c r="J32" s="39">
        <v>90</v>
      </c>
      <c r="K32" s="40"/>
      <c r="L32" s="39">
        <v>10</v>
      </c>
      <c r="M32" s="39">
        <v>0</v>
      </c>
      <c r="N32" s="39">
        <v>0</v>
      </c>
      <c r="O32" s="39">
        <v>15</v>
      </c>
      <c r="P32" s="31"/>
      <c r="Q32" s="41">
        <f>L32*$J$32</f>
        <v>900</v>
      </c>
      <c r="R32" s="41">
        <f t="shared" ref="R32:T32" si="6">M32*$J$32</f>
        <v>0</v>
      </c>
      <c r="S32" s="41">
        <f t="shared" si="6"/>
        <v>0</v>
      </c>
      <c r="T32" s="41">
        <f t="shared" si="6"/>
        <v>1350</v>
      </c>
      <c r="U32" s="32"/>
    </row>
    <row r="33" spans="1:21" x14ac:dyDescent="0.2">
      <c r="A33" s="93" t="s">
        <v>98</v>
      </c>
      <c r="B33" s="36"/>
      <c r="C33" s="34"/>
      <c r="D33" s="34"/>
      <c r="E33" s="62">
        <v>360</v>
      </c>
      <c r="F33" s="35"/>
      <c r="I33" s="38" t="s">
        <v>48</v>
      </c>
      <c r="J33" s="39">
        <v>68</v>
      </c>
      <c r="K33" s="40"/>
      <c r="L33" s="39">
        <v>15</v>
      </c>
      <c r="M33" s="39">
        <v>5</v>
      </c>
      <c r="N33" s="39">
        <v>0</v>
      </c>
      <c r="O33" s="39">
        <v>10</v>
      </c>
      <c r="P33" s="31"/>
      <c r="Q33" s="41">
        <f>L33*$J$33</f>
        <v>1020</v>
      </c>
      <c r="R33" s="41">
        <f t="shared" ref="R33:T33" si="7">M33*$J$33</f>
        <v>340</v>
      </c>
      <c r="S33" s="41">
        <f t="shared" si="7"/>
        <v>0</v>
      </c>
      <c r="T33" s="41">
        <f t="shared" si="7"/>
        <v>680</v>
      </c>
      <c r="U33" s="32"/>
    </row>
    <row r="34" spans="1:21" x14ac:dyDescent="0.2">
      <c r="A34" s="42"/>
      <c r="B34" s="36"/>
      <c r="C34" s="34"/>
      <c r="D34" s="34"/>
      <c r="E34" s="52"/>
      <c r="F34" s="35"/>
      <c r="I34" s="38" t="s">
        <v>49</v>
      </c>
      <c r="J34" s="39">
        <v>68</v>
      </c>
      <c r="K34" s="40"/>
      <c r="L34" s="39">
        <v>10</v>
      </c>
      <c r="M34" s="39">
        <v>10</v>
      </c>
      <c r="N34" s="39">
        <v>0</v>
      </c>
      <c r="O34" s="39">
        <v>10</v>
      </c>
      <c r="P34" s="31"/>
      <c r="Q34" s="41">
        <f>L34*$J$34</f>
        <v>680</v>
      </c>
      <c r="R34" s="41">
        <f t="shared" ref="R34:T34" si="8">M34*$J$34</f>
        <v>680</v>
      </c>
      <c r="S34" s="41">
        <f t="shared" si="8"/>
        <v>0</v>
      </c>
      <c r="T34" s="41">
        <f t="shared" si="8"/>
        <v>680</v>
      </c>
      <c r="U34" s="32"/>
    </row>
    <row r="35" spans="1:21" x14ac:dyDescent="0.2">
      <c r="A35" s="93" t="s">
        <v>118</v>
      </c>
      <c r="B35" s="59"/>
      <c r="C35" s="95"/>
      <c r="D35" s="59"/>
      <c r="E35" s="9">
        <v>3</v>
      </c>
      <c r="F35" s="35"/>
      <c r="I35" s="31"/>
      <c r="J35" s="65"/>
      <c r="K35" s="57"/>
      <c r="L35" s="65"/>
      <c r="M35" s="65"/>
      <c r="N35" s="65"/>
      <c r="O35" s="65"/>
      <c r="P35" s="31"/>
      <c r="Q35" s="41"/>
      <c r="R35" s="41"/>
      <c r="S35" s="41"/>
      <c r="T35" s="41"/>
      <c r="U35" s="32"/>
    </row>
    <row r="36" spans="1:21" x14ac:dyDescent="0.2">
      <c r="A36" s="93" t="s">
        <v>73</v>
      </c>
      <c r="B36" s="59"/>
      <c r="C36" s="96"/>
      <c r="D36" s="59"/>
      <c r="E36" s="95"/>
      <c r="F36" s="35"/>
      <c r="I36" s="31" t="s">
        <v>51</v>
      </c>
      <c r="J36" s="39">
        <v>10</v>
      </c>
      <c r="K36" s="69">
        <f>J36</f>
        <v>10</v>
      </c>
      <c r="L36" s="39">
        <v>25</v>
      </c>
      <c r="M36" s="39">
        <v>5</v>
      </c>
      <c r="N36" s="39">
        <v>0</v>
      </c>
      <c r="O36" s="39">
        <v>5</v>
      </c>
      <c r="P36" s="31"/>
      <c r="Q36" s="41">
        <f>L36*$J$36</f>
        <v>250</v>
      </c>
      <c r="R36" s="41">
        <f t="shared" ref="R36:T36" si="9">M36*$J$36</f>
        <v>50</v>
      </c>
      <c r="S36" s="41">
        <f t="shared" si="9"/>
        <v>0</v>
      </c>
      <c r="T36" s="41">
        <f t="shared" si="9"/>
        <v>50</v>
      </c>
      <c r="U36" s="32"/>
    </row>
    <row r="37" spans="1:21" x14ac:dyDescent="0.2">
      <c r="A37" s="59"/>
      <c r="B37" s="59"/>
      <c r="C37" s="96"/>
      <c r="D37" s="59"/>
      <c r="E37" s="95"/>
      <c r="F37" s="77"/>
      <c r="I37" s="33" t="s">
        <v>52</v>
      </c>
      <c r="J37" s="72" t="s">
        <v>52</v>
      </c>
      <c r="K37" s="73" t="s">
        <v>52</v>
      </c>
      <c r="L37" s="72" t="s">
        <v>52</v>
      </c>
      <c r="M37" s="72" t="s">
        <v>52</v>
      </c>
      <c r="N37" s="72" t="s">
        <v>52</v>
      </c>
      <c r="O37" s="72" t="s">
        <v>52</v>
      </c>
      <c r="P37" s="33" t="s">
        <v>52</v>
      </c>
      <c r="Q37" s="33" t="s">
        <v>52</v>
      </c>
      <c r="R37" s="33" t="s">
        <v>52</v>
      </c>
      <c r="S37" s="33" t="s">
        <v>52</v>
      </c>
      <c r="T37" s="33" t="s">
        <v>52</v>
      </c>
      <c r="U37" s="32"/>
    </row>
    <row r="38" spans="1:21" x14ac:dyDescent="0.2">
      <c r="A38" s="93" t="s">
        <v>119</v>
      </c>
      <c r="B38" s="59"/>
      <c r="C38" s="95"/>
      <c r="D38" s="59"/>
      <c r="E38" s="9">
        <v>3</v>
      </c>
      <c r="F38" s="59"/>
      <c r="I38" s="31" t="s">
        <v>54</v>
      </c>
      <c r="J38" s="65" t="s">
        <v>27</v>
      </c>
      <c r="K38" s="57">
        <f>SUM(K18:K36)</f>
        <v>440</v>
      </c>
      <c r="L38" s="65"/>
      <c r="M38" s="65"/>
      <c r="N38" s="65"/>
      <c r="O38" s="65"/>
      <c r="P38" s="31"/>
      <c r="Q38" s="31"/>
      <c r="R38" s="31"/>
      <c r="S38" s="31"/>
      <c r="T38" s="31"/>
      <c r="U38" s="32"/>
    </row>
    <row r="39" spans="1:21" x14ac:dyDescent="0.2">
      <c r="A39" s="93" t="s">
        <v>74</v>
      </c>
      <c r="B39" s="59"/>
      <c r="C39" s="96"/>
      <c r="D39" s="59"/>
      <c r="E39" s="96"/>
      <c r="F39" s="44"/>
      <c r="I39" s="76"/>
      <c r="J39" s="65"/>
      <c r="K39" s="57"/>
      <c r="L39" s="65"/>
      <c r="M39" s="65"/>
      <c r="N39" s="65"/>
      <c r="O39" s="65"/>
      <c r="P39" s="31"/>
      <c r="Q39" s="31"/>
      <c r="R39" s="31"/>
      <c r="S39" s="31"/>
      <c r="T39" s="31"/>
      <c r="U39" s="32"/>
    </row>
    <row r="40" spans="1:21" x14ac:dyDescent="0.2">
      <c r="A40" s="97"/>
      <c r="B40" s="98"/>
      <c r="C40" s="46"/>
      <c r="D40" s="46"/>
      <c r="E40" s="101"/>
      <c r="F40" s="101"/>
      <c r="I40" s="31" t="s">
        <v>55</v>
      </c>
      <c r="J40" s="65"/>
      <c r="K40" s="57"/>
      <c r="L40" s="65"/>
      <c r="M40" s="65"/>
      <c r="N40" s="65"/>
      <c r="O40" s="65"/>
      <c r="P40" s="31"/>
      <c r="Q40" s="31"/>
      <c r="R40" s="31"/>
      <c r="S40" s="31"/>
      <c r="T40" s="31"/>
      <c r="U40" s="32"/>
    </row>
    <row r="41" spans="1:21" x14ac:dyDescent="0.2">
      <c r="A41" s="93" t="s">
        <v>123</v>
      </c>
      <c r="B41" s="59"/>
      <c r="C41" s="99"/>
      <c r="D41" s="59"/>
      <c r="E41" s="10">
        <v>10</v>
      </c>
      <c r="F41" s="102"/>
      <c r="I41" s="38" t="s">
        <v>56</v>
      </c>
      <c r="J41" s="39">
        <v>48</v>
      </c>
      <c r="K41" s="40"/>
      <c r="L41" s="39">
        <v>3</v>
      </c>
      <c r="M41" s="39">
        <v>0</v>
      </c>
      <c r="N41" s="39">
        <v>0</v>
      </c>
      <c r="O41" s="39">
        <v>2</v>
      </c>
      <c r="P41" s="31"/>
      <c r="Q41" s="41">
        <f>L41*$J$41</f>
        <v>144</v>
      </c>
      <c r="R41" s="41">
        <f t="shared" ref="R41:T41" si="10">M41*$J$41</f>
        <v>0</v>
      </c>
      <c r="S41" s="41">
        <f t="shared" si="10"/>
        <v>0</v>
      </c>
      <c r="T41" s="41">
        <f t="shared" si="10"/>
        <v>96</v>
      </c>
      <c r="U41" s="32"/>
    </row>
    <row r="42" spans="1:21" x14ac:dyDescent="0.2">
      <c r="A42" s="93" t="s">
        <v>75</v>
      </c>
      <c r="B42" s="59"/>
      <c r="C42" s="100"/>
      <c r="D42" s="100"/>
      <c r="E42" s="96" t="s">
        <v>0</v>
      </c>
      <c r="F42" s="102"/>
      <c r="I42" s="38" t="s">
        <v>57</v>
      </c>
      <c r="J42" s="39">
        <v>48</v>
      </c>
      <c r="K42" s="40"/>
      <c r="L42" s="39">
        <v>5</v>
      </c>
      <c r="M42" s="39">
        <v>0</v>
      </c>
      <c r="N42" s="39">
        <v>0</v>
      </c>
      <c r="O42" s="39">
        <v>3</v>
      </c>
      <c r="P42" s="31"/>
      <c r="Q42" s="41">
        <f>L42*$J$42</f>
        <v>240</v>
      </c>
      <c r="R42" s="41">
        <f t="shared" ref="R42:T42" si="11">M42*$J$42</f>
        <v>0</v>
      </c>
      <c r="S42" s="41">
        <f t="shared" si="11"/>
        <v>0</v>
      </c>
      <c r="T42" s="41">
        <f t="shared" si="11"/>
        <v>144</v>
      </c>
      <c r="U42" s="32"/>
    </row>
    <row r="43" spans="1:21" x14ac:dyDescent="0.2">
      <c r="A43" s="81"/>
      <c r="B43" s="84"/>
      <c r="C43" s="82"/>
      <c r="D43" s="82"/>
      <c r="E43" s="83"/>
      <c r="F43" s="83"/>
      <c r="I43" s="38" t="s">
        <v>58</v>
      </c>
      <c r="J43" s="39">
        <v>72</v>
      </c>
      <c r="K43" s="40"/>
      <c r="L43" s="39">
        <v>4</v>
      </c>
      <c r="M43" s="39">
        <v>2</v>
      </c>
      <c r="N43" s="39">
        <v>0</v>
      </c>
      <c r="O43" s="39">
        <v>5</v>
      </c>
      <c r="P43" s="31"/>
      <c r="Q43" s="41">
        <f>L43*$J$43</f>
        <v>288</v>
      </c>
      <c r="R43" s="41">
        <f t="shared" ref="R43:T43" si="12">M43*$J$43</f>
        <v>144</v>
      </c>
      <c r="S43" s="41">
        <f t="shared" si="12"/>
        <v>0</v>
      </c>
      <c r="T43" s="41">
        <f t="shared" si="12"/>
        <v>360</v>
      </c>
      <c r="U43" s="32"/>
    </row>
    <row r="44" spans="1:21" x14ac:dyDescent="0.2">
      <c r="A44" s="32"/>
      <c r="B44" s="32"/>
      <c r="C44" s="21"/>
      <c r="D44" s="21"/>
      <c r="E44" s="1"/>
      <c r="G44" s="49"/>
      <c r="I44" s="38" t="s">
        <v>59</v>
      </c>
      <c r="J44" s="39">
        <v>48</v>
      </c>
      <c r="K44" s="40"/>
      <c r="L44" s="39">
        <v>4</v>
      </c>
      <c r="M44" s="39">
        <v>4</v>
      </c>
      <c r="N44" s="39">
        <v>0</v>
      </c>
      <c r="O44" s="39">
        <v>6</v>
      </c>
      <c r="P44" s="31"/>
      <c r="Q44" s="41">
        <f>L44*$J$44</f>
        <v>192</v>
      </c>
      <c r="R44" s="41">
        <f t="shared" ref="R44:T44" si="13">M44*$J$44</f>
        <v>192</v>
      </c>
      <c r="S44" s="41">
        <f t="shared" si="13"/>
        <v>0</v>
      </c>
      <c r="T44" s="41">
        <f t="shared" si="13"/>
        <v>288</v>
      </c>
      <c r="U44" s="32"/>
    </row>
    <row r="45" spans="1:21" x14ac:dyDescent="0.2">
      <c r="D45" s="22"/>
      <c r="E45" s="1"/>
      <c r="I45" s="38" t="s">
        <v>60</v>
      </c>
      <c r="J45" s="39">
        <v>156</v>
      </c>
      <c r="K45" s="40"/>
      <c r="L45" s="39">
        <v>7</v>
      </c>
      <c r="M45" s="39">
        <v>4</v>
      </c>
      <c r="N45" s="39">
        <v>0</v>
      </c>
      <c r="O45" s="39">
        <v>9</v>
      </c>
      <c r="P45" s="31"/>
      <c r="Q45" s="41">
        <f>L45*$J$45</f>
        <v>1092</v>
      </c>
      <c r="R45" s="41">
        <f t="shared" ref="R45:T45" si="14">M45*$J$45</f>
        <v>624</v>
      </c>
      <c r="S45" s="41">
        <f t="shared" si="14"/>
        <v>0</v>
      </c>
      <c r="T45" s="41">
        <f t="shared" si="14"/>
        <v>1404</v>
      </c>
      <c r="U45" s="32"/>
    </row>
    <row r="46" spans="1:21" ht="18" x14ac:dyDescent="0.25">
      <c r="A46" s="154" t="s">
        <v>79</v>
      </c>
      <c r="B46" s="155"/>
      <c r="C46" s="156"/>
      <c r="D46" s="155"/>
      <c r="E46" s="155"/>
      <c r="F46" s="174"/>
      <c r="G46" s="79"/>
      <c r="H46" s="32"/>
      <c r="I46" s="33" t="s">
        <v>18</v>
      </c>
      <c r="J46" s="33" t="s">
        <v>18</v>
      </c>
      <c r="K46" s="73" t="s">
        <v>18</v>
      </c>
      <c r="L46" s="33" t="s">
        <v>18</v>
      </c>
      <c r="M46" s="33" t="s">
        <v>18</v>
      </c>
      <c r="N46" s="33" t="s">
        <v>18</v>
      </c>
      <c r="O46" s="33" t="s">
        <v>18</v>
      </c>
      <c r="P46" s="33" t="s">
        <v>18</v>
      </c>
      <c r="Q46" s="33" t="s">
        <v>18</v>
      </c>
      <c r="R46" s="33" t="s">
        <v>18</v>
      </c>
      <c r="S46" s="33" t="s">
        <v>18</v>
      </c>
      <c r="T46" s="33" t="s">
        <v>18</v>
      </c>
      <c r="U46" s="32"/>
    </row>
    <row r="47" spans="1:21" x14ac:dyDescent="0.2">
      <c r="A47" s="157" t="s">
        <v>83</v>
      </c>
      <c r="B47" s="155"/>
      <c r="C47" s="156"/>
      <c r="D47" s="155"/>
      <c r="E47" s="155"/>
      <c r="F47" s="174"/>
      <c r="G47" s="80"/>
      <c r="H47" s="32"/>
      <c r="I47" s="31" t="s">
        <v>55</v>
      </c>
      <c r="J47" s="31" t="s">
        <v>27</v>
      </c>
      <c r="K47" s="57">
        <f>SUM(J41:J45)</f>
        <v>372</v>
      </c>
      <c r="L47" s="31"/>
      <c r="M47" s="31"/>
      <c r="N47" s="31"/>
      <c r="O47" s="31"/>
      <c r="P47" s="31"/>
      <c r="Q47" s="31"/>
      <c r="R47" s="31"/>
      <c r="S47" s="31"/>
      <c r="T47" s="31"/>
      <c r="U47" s="32"/>
    </row>
    <row r="48" spans="1:21" ht="15.75" x14ac:dyDescent="0.25">
      <c r="A48" s="158" t="s">
        <v>67</v>
      </c>
      <c r="B48" s="155"/>
      <c r="C48" s="159"/>
      <c r="D48" s="159"/>
      <c r="E48" s="160">
        <f>(E75)+2*(E35*E41/2)</f>
        <v>71.32231404958678</v>
      </c>
      <c r="F48" s="174"/>
      <c r="G48" s="81"/>
      <c r="H48" s="32"/>
      <c r="I48" s="31"/>
      <c r="J48" s="31"/>
      <c r="K48" s="57"/>
      <c r="L48" s="31"/>
      <c r="M48" s="31"/>
      <c r="N48" s="31"/>
      <c r="O48" s="31"/>
      <c r="P48" s="31"/>
      <c r="Q48" s="31"/>
      <c r="R48" s="31"/>
      <c r="S48" s="31"/>
      <c r="T48" s="31"/>
      <c r="U48" s="32"/>
    </row>
    <row r="49" spans="1:23" x14ac:dyDescent="0.2">
      <c r="A49" s="155"/>
      <c r="B49" s="155"/>
      <c r="C49" s="156"/>
      <c r="D49" s="156"/>
      <c r="E49" s="161"/>
      <c r="F49" s="174"/>
      <c r="G49" s="81"/>
      <c r="H49" s="32"/>
      <c r="I49" s="31"/>
      <c r="J49" s="31"/>
      <c r="K49" s="57"/>
      <c r="L49" s="31"/>
      <c r="M49" s="31"/>
      <c r="N49" s="31"/>
      <c r="O49" s="31"/>
      <c r="P49" s="31"/>
      <c r="Q49" s="31"/>
      <c r="R49" s="31"/>
      <c r="S49" s="31"/>
      <c r="T49" s="31"/>
      <c r="U49" s="32"/>
    </row>
    <row r="50" spans="1:23" ht="15.75" x14ac:dyDescent="0.25">
      <c r="A50" s="158" t="s">
        <v>68</v>
      </c>
      <c r="B50" s="155"/>
      <c r="C50" s="162"/>
      <c r="D50" s="155"/>
      <c r="E50" s="163">
        <f>IF((E75)-2*(E35*E41/2) &gt;=0,E75-2*(E35*E41/2), "Select a Shorter Pile Height-cell E41")</f>
        <v>11.32231404958678</v>
      </c>
      <c r="F50" s="174"/>
      <c r="G50" s="81"/>
      <c r="H50" s="32"/>
      <c r="I50" s="31"/>
      <c r="J50" s="121"/>
      <c r="K50" s="31"/>
      <c r="L50" s="31"/>
      <c r="M50" s="31" t="s">
        <v>61</v>
      </c>
      <c r="N50" s="31"/>
      <c r="O50" s="121"/>
      <c r="P50" s="31"/>
      <c r="Q50" s="78">
        <f>SUM(Q20:Q45)</f>
        <v>6266</v>
      </c>
      <c r="R50" s="78">
        <f>SUM(R20:R45)</f>
        <v>3020</v>
      </c>
      <c r="S50" s="78">
        <f>SUM(S20:S45)</f>
        <v>820</v>
      </c>
      <c r="T50" s="78">
        <f>SUM(T20:T45)</f>
        <v>6870</v>
      </c>
      <c r="U50" s="32"/>
    </row>
    <row r="51" spans="1:23" ht="15.75" x14ac:dyDescent="0.25">
      <c r="A51" s="155"/>
      <c r="B51" s="155"/>
      <c r="C51" s="156"/>
      <c r="D51" s="155"/>
      <c r="E51" s="155"/>
      <c r="F51" s="201"/>
    </row>
    <row r="52" spans="1:23" ht="18" x14ac:dyDescent="0.25">
      <c r="A52" s="158" t="s">
        <v>82</v>
      </c>
      <c r="B52" s="155"/>
      <c r="C52" s="164"/>
      <c r="D52" s="155"/>
      <c r="E52" s="166">
        <f>(E33*(E31/12))+2*(E38*E41/2)</f>
        <v>390</v>
      </c>
      <c r="F52" s="202"/>
      <c r="L52" s="27" t="str">
        <f>IF(E52 &gt; 200,"There are benefits to having multiple piles when bottom length exceeds 200 feet.",  " ")</f>
        <v>There are benefits to having multiple piles when bottom length exceeds 200 feet.</v>
      </c>
      <c r="T52" s="32"/>
      <c r="U52" s="32"/>
      <c r="V52" s="32"/>
      <c r="W52" s="32"/>
    </row>
    <row r="53" spans="1:23" ht="18" x14ac:dyDescent="0.25">
      <c r="A53" s="155"/>
      <c r="B53" s="155"/>
      <c r="C53" s="161"/>
      <c r="D53" s="155"/>
      <c r="E53" s="161"/>
      <c r="F53" s="174"/>
      <c r="L53" s="27" t="str">
        <f>IF(E52&gt;200, "Consider dividing the Number of days feeding (Cell E33) by 2 or 3 and use that many piles", " ")</f>
        <v>Consider dividing the Number of days feeding (Cell E33) by 2 or 3 and use that many piles</v>
      </c>
      <c r="T53" s="32"/>
      <c r="U53" s="32"/>
      <c r="V53" s="32"/>
      <c r="W53" s="32"/>
    </row>
    <row r="54" spans="1:23" ht="15.75" x14ac:dyDescent="0.25">
      <c r="A54" s="158" t="s">
        <v>70</v>
      </c>
      <c r="B54" s="155"/>
      <c r="C54" s="167"/>
      <c r="D54" s="155"/>
      <c r="E54" s="168">
        <f>IF((E76)-2*(E38*E41/2) &gt;=0,E76-2*(E38*E41/2), "Select a Shorter Pile Height-cell E41")</f>
        <v>330</v>
      </c>
      <c r="F54" s="174"/>
      <c r="T54" s="32"/>
      <c r="U54" s="32"/>
      <c r="V54" s="32"/>
      <c r="W54" s="32"/>
    </row>
    <row r="55" spans="1:23" x14ac:dyDescent="0.2">
      <c r="A55" s="155"/>
      <c r="B55" s="155"/>
      <c r="C55" s="156"/>
      <c r="D55" s="155"/>
      <c r="E55" s="155"/>
      <c r="F55" s="174"/>
      <c r="T55" s="32"/>
      <c r="U55" s="32"/>
      <c r="V55" s="32"/>
      <c r="W55" s="32"/>
    </row>
    <row r="56" spans="1:23" ht="15.75" x14ac:dyDescent="0.25">
      <c r="A56" s="158" t="s">
        <v>77</v>
      </c>
      <c r="B56" s="155"/>
      <c r="C56" s="156"/>
      <c r="D56" s="156"/>
      <c r="E56" s="169">
        <f>E18*E33/2000</f>
        <v>1080</v>
      </c>
      <c r="F56" s="174"/>
    </row>
    <row r="57" spans="1:23" ht="15.75" x14ac:dyDescent="0.25">
      <c r="A57" s="158"/>
      <c r="B57" s="155"/>
      <c r="C57" s="156"/>
      <c r="D57" s="156"/>
      <c r="E57" s="170"/>
      <c r="F57" s="174"/>
    </row>
    <row r="58" spans="1:23" ht="15.75" x14ac:dyDescent="0.25">
      <c r="A58" s="158" t="s">
        <v>78</v>
      </c>
      <c r="B58" s="155"/>
      <c r="C58" s="156"/>
      <c r="D58" s="156"/>
      <c r="E58" s="169">
        <f>E56/(1-E29/100)</f>
        <v>3272.727272727273</v>
      </c>
      <c r="F58" s="174"/>
      <c r="G58" s="32"/>
      <c r="H58" s="32"/>
    </row>
    <row r="59" spans="1:23" ht="15.75" x14ac:dyDescent="0.25">
      <c r="A59" s="158"/>
      <c r="B59" s="155"/>
      <c r="C59" s="156"/>
      <c r="D59" s="156"/>
      <c r="E59" s="170"/>
      <c r="F59" s="174"/>
      <c r="G59" s="28"/>
    </row>
    <row r="60" spans="1:23" ht="15.75" x14ac:dyDescent="0.25">
      <c r="A60" s="158" t="s">
        <v>71</v>
      </c>
      <c r="B60" s="155"/>
      <c r="C60" s="156"/>
      <c r="D60" s="156"/>
      <c r="E60" s="169">
        <f>E56/(1-((E21+E24)/100))</f>
        <v>1270.5882352941176</v>
      </c>
      <c r="F60" s="174"/>
    </row>
    <row r="61" spans="1:23" ht="15.75" x14ac:dyDescent="0.25">
      <c r="A61" s="158"/>
      <c r="B61" s="155"/>
      <c r="C61" s="171"/>
      <c r="D61" s="156"/>
      <c r="E61" s="170"/>
      <c r="F61" s="174"/>
    </row>
    <row r="62" spans="1:23" ht="15.75" x14ac:dyDescent="0.25">
      <c r="A62" s="158" t="s">
        <v>72</v>
      </c>
      <c r="B62" s="155"/>
      <c r="C62" s="156"/>
      <c r="D62" s="156"/>
      <c r="E62" s="169">
        <f>E58/(1-((E21+E24)/100))</f>
        <v>3850.2673796791446</v>
      </c>
      <c r="F62" s="174"/>
    </row>
    <row r="63" spans="1:23" x14ac:dyDescent="0.2">
      <c r="A63" s="155"/>
      <c r="B63" s="155"/>
      <c r="C63" s="156"/>
      <c r="D63" s="155"/>
      <c r="E63" s="155"/>
      <c r="F63" s="174"/>
      <c r="G63" s="83"/>
      <c r="H63" s="83"/>
      <c r="I63" s="81"/>
      <c r="J63" s="32"/>
      <c r="K63" s="32"/>
      <c r="L63" s="32"/>
      <c r="M63" s="87"/>
      <c r="N63" s="32"/>
      <c r="O63" s="32"/>
      <c r="P63" s="32"/>
    </row>
    <row r="64" spans="1:23" ht="15" x14ac:dyDescent="0.2">
      <c r="A64" s="172" t="s">
        <v>81</v>
      </c>
      <c r="B64" s="155"/>
      <c r="C64" s="156"/>
      <c r="D64" s="155"/>
      <c r="E64" s="155"/>
      <c r="F64" s="174"/>
      <c r="G64" s="83"/>
      <c r="H64" s="83"/>
      <c r="I64" s="81"/>
      <c r="J64" s="32"/>
      <c r="K64" s="32"/>
      <c r="L64" s="32"/>
      <c r="M64" s="87"/>
      <c r="N64" s="32"/>
      <c r="O64" s="32"/>
      <c r="P64" s="32"/>
    </row>
    <row r="65" spans="1:19" ht="15.75" x14ac:dyDescent="0.25">
      <c r="A65" s="174" t="s">
        <v>2</v>
      </c>
      <c r="B65" s="174"/>
      <c r="C65" s="22"/>
      <c r="D65" s="174"/>
      <c r="E65" s="174"/>
      <c r="F65" s="174"/>
      <c r="G65" s="83"/>
      <c r="H65" s="83"/>
      <c r="I65" s="81"/>
      <c r="J65" s="32"/>
      <c r="K65" s="32"/>
      <c r="L65" s="32"/>
      <c r="M65" s="92">
        <f>E50</f>
        <v>11.32231404958678</v>
      </c>
      <c r="N65" s="91" t="s">
        <v>66</v>
      </c>
      <c r="O65" s="32"/>
      <c r="P65" s="32"/>
      <c r="S65" s="32"/>
    </row>
    <row r="66" spans="1:19" x14ac:dyDescent="0.2">
      <c r="A66" s="174" t="s">
        <v>1</v>
      </c>
      <c r="B66" s="174"/>
      <c r="C66" s="22"/>
      <c r="D66" s="174"/>
      <c r="E66" s="174"/>
      <c r="F66" s="174"/>
      <c r="G66" s="1"/>
      <c r="H66" t="s">
        <v>0</v>
      </c>
      <c r="S66" s="32"/>
    </row>
    <row r="67" spans="1:19" x14ac:dyDescent="0.2">
      <c r="A67" s="174"/>
      <c r="B67" s="174"/>
      <c r="C67" s="22"/>
      <c r="D67" s="174"/>
      <c r="E67" s="174"/>
      <c r="F67" s="174"/>
      <c r="G67" s="1"/>
      <c r="S67" s="32"/>
    </row>
    <row r="68" spans="1:19" x14ac:dyDescent="0.2">
      <c r="A68" s="174"/>
      <c r="B68" s="174"/>
      <c r="C68" s="22"/>
      <c r="D68" s="174"/>
      <c r="E68" s="174"/>
      <c r="F68" s="174"/>
      <c r="G68" s="1"/>
    </row>
    <row r="69" spans="1:19" ht="15.75" x14ac:dyDescent="0.25">
      <c r="A69" s="174"/>
      <c r="B69" s="174"/>
      <c r="C69" s="22"/>
      <c r="D69" s="174"/>
      <c r="E69" s="174"/>
      <c r="F69" s="174"/>
      <c r="G69" s="1"/>
      <c r="O69" s="13">
        <f>E35</f>
        <v>3</v>
      </c>
      <c r="P69" s="106"/>
    </row>
    <row r="70" spans="1:19" x14ac:dyDescent="0.2">
      <c r="A70" s="174"/>
      <c r="B70" s="174"/>
      <c r="C70" s="176"/>
      <c r="D70" s="22"/>
      <c r="E70" s="22"/>
      <c r="F70" s="174"/>
      <c r="G70" s="1"/>
    </row>
    <row r="71" spans="1:19" x14ac:dyDescent="0.2">
      <c r="A71" s="177"/>
      <c r="B71" s="177"/>
      <c r="C71" s="178"/>
      <c r="D71" s="87"/>
      <c r="E71" s="178"/>
      <c r="F71" s="174"/>
      <c r="G71" s="1"/>
    </row>
    <row r="72" spans="1:19" x14ac:dyDescent="0.2">
      <c r="A72" s="179" t="s">
        <v>64</v>
      </c>
      <c r="B72" s="174"/>
      <c r="C72" s="176"/>
      <c r="D72" s="176"/>
      <c r="E72" s="180">
        <f>E27*(100-E29)/100</f>
        <v>14.52</v>
      </c>
      <c r="F72" s="174"/>
      <c r="G72" s="1"/>
    </row>
    <row r="73" spans="1:19" ht="15.75" x14ac:dyDescent="0.25">
      <c r="A73" s="179" t="s">
        <v>76</v>
      </c>
      <c r="B73" s="174"/>
      <c r="C73" s="176"/>
      <c r="D73" s="176"/>
      <c r="E73" s="180">
        <f>E18/E72</f>
        <v>413.22314049586777</v>
      </c>
      <c r="F73" s="174"/>
      <c r="G73" s="13">
        <f>E41</f>
        <v>10</v>
      </c>
      <c r="H73" s="24" t="s">
        <v>66</v>
      </c>
    </row>
    <row r="74" spans="1:19" ht="15.75" x14ac:dyDescent="0.25">
      <c r="A74" s="174" t="s">
        <v>6</v>
      </c>
      <c r="B74" s="174"/>
      <c r="C74" s="176"/>
      <c r="D74" s="176"/>
      <c r="E74" s="180">
        <f>E73/(E31/12)</f>
        <v>413.22314049586777</v>
      </c>
      <c r="F74" s="174"/>
      <c r="G74" s="1"/>
      <c r="I74" s="23">
        <f>G73/2</f>
        <v>5</v>
      </c>
      <c r="J74" s="24" t="s">
        <v>13</v>
      </c>
    </row>
    <row r="75" spans="1:19" x14ac:dyDescent="0.2">
      <c r="A75" s="179" t="s">
        <v>65</v>
      </c>
      <c r="B75" s="174"/>
      <c r="C75" s="176"/>
      <c r="D75" s="176"/>
      <c r="E75" s="203">
        <f>E74/E41</f>
        <v>41.32231404958678</v>
      </c>
      <c r="F75" s="174"/>
      <c r="G75" s="1"/>
    </row>
    <row r="76" spans="1:19" x14ac:dyDescent="0.2">
      <c r="A76" s="179" t="s">
        <v>69</v>
      </c>
      <c r="B76" s="179"/>
      <c r="C76" s="181"/>
      <c r="D76" s="174"/>
      <c r="E76" s="182">
        <f>E33*(E31/12)</f>
        <v>360</v>
      </c>
      <c r="F76" s="174"/>
      <c r="G76" s="1"/>
    </row>
    <row r="77" spans="1:19" x14ac:dyDescent="0.2">
      <c r="A77" s="174"/>
      <c r="B77" s="174"/>
      <c r="C77" s="22"/>
      <c r="D77" s="174"/>
      <c r="E77" s="174"/>
      <c r="F77" s="174"/>
      <c r="G77" s="4"/>
    </row>
    <row r="78" spans="1:19" x14ac:dyDescent="0.2">
      <c r="A78" s="174"/>
      <c r="B78" s="174"/>
      <c r="C78" s="176"/>
      <c r="D78" s="22"/>
      <c r="E78" s="174"/>
      <c r="F78" s="174"/>
      <c r="G78" s="4"/>
    </row>
    <row r="79" spans="1:19" x14ac:dyDescent="0.2">
      <c r="G79" s="1"/>
    </row>
    <row r="80" spans="1:19" x14ac:dyDescent="0.2">
      <c r="G80" s="1"/>
    </row>
    <row r="81" spans="7:14" x14ac:dyDescent="0.2">
      <c r="G81" s="1"/>
    </row>
    <row r="82" spans="7:14" x14ac:dyDescent="0.2">
      <c r="G82" s="1"/>
    </row>
    <row r="83" spans="7:14" ht="15.75" x14ac:dyDescent="0.25">
      <c r="G83" s="1"/>
      <c r="M83" s="13">
        <f>E48</f>
        <v>71.32231404958678</v>
      </c>
      <c r="N83" s="91" t="s">
        <v>66</v>
      </c>
    </row>
    <row r="84" spans="7:14" x14ac:dyDescent="0.2">
      <c r="G84" s="1"/>
    </row>
    <row r="109" spans="9:9" x14ac:dyDescent="0.2">
      <c r="I109" s="1" t="s">
        <v>0</v>
      </c>
    </row>
  </sheetData>
  <sheetProtection sheet="1" objects="1" scenarios="1"/>
  <phoneticPr fontId="0" type="noConversion"/>
  <dataValidations count="1">
    <dataValidation type="list" allowBlank="1" showInputMessage="1" showErrorMessage="1" sqref="E16">
      <formula1>"Hay 1 Silage, Hay 2 Silage, Hay 3 Silage, Corn Silage, My Silage"</formula1>
    </dataValidation>
  </dataValidations>
  <printOptions horizontalCentered="1"/>
  <pageMargins left="0.5" right="0.5" top="1" bottom="1" header="0.5" footer="0.5"/>
  <pageSetup orientation="portrait" r:id="rId1"/>
  <headerFooter alignWithMargins="0">
    <oddFooter xml:space="preserve">&amp;LKen Barnett
UWEX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168"/>
  <sheetViews>
    <sheetView zoomScale="80" zoomScaleNormal="80" workbookViewId="0">
      <selection activeCell="L20" sqref="L20:O36"/>
    </sheetView>
  </sheetViews>
  <sheetFormatPr defaultRowHeight="12.75" x14ac:dyDescent="0.2"/>
  <cols>
    <col min="1" max="1" width="55.5703125" customWidth="1"/>
    <col min="2" max="2" width="17.42578125" customWidth="1"/>
    <col min="5" max="5" width="16" customWidth="1"/>
    <col min="7" max="7" width="13.140625" customWidth="1"/>
    <col min="8" max="8" width="11.5703125" customWidth="1"/>
    <col min="9" max="9" width="20.42578125" customWidth="1"/>
    <col min="16" max="16" width="11.85546875" customWidth="1"/>
    <col min="20" max="20" width="12.42578125" customWidth="1"/>
  </cols>
  <sheetData>
    <row r="1" spans="1:21" ht="20.25" x14ac:dyDescent="0.3">
      <c r="A1" s="18" t="s">
        <v>15</v>
      </c>
      <c r="B1" s="107" t="s">
        <v>84</v>
      </c>
      <c r="C1" s="17"/>
      <c r="D1" s="16"/>
      <c r="E1" s="16"/>
      <c r="F1" s="16"/>
      <c r="G1" s="16"/>
      <c r="H1" s="16"/>
      <c r="I1" s="108"/>
    </row>
    <row r="2" spans="1:21" x14ac:dyDescent="0.2">
      <c r="A2" s="2"/>
      <c r="B2" s="144" t="s">
        <v>269</v>
      </c>
      <c r="C2" s="17"/>
      <c r="D2" s="16"/>
      <c r="E2" s="16"/>
      <c r="F2" s="16"/>
      <c r="G2" s="16"/>
      <c r="H2" s="16"/>
      <c r="I2" s="108"/>
    </row>
    <row r="3" spans="1:21" x14ac:dyDescent="0.2">
      <c r="A3" s="2" t="s">
        <v>4</v>
      </c>
      <c r="B3" s="16" t="s">
        <v>10</v>
      </c>
      <c r="C3" s="17"/>
      <c r="D3" s="16"/>
      <c r="E3" s="16"/>
      <c r="F3" s="16"/>
      <c r="G3" s="16"/>
      <c r="H3" s="16"/>
      <c r="I3" s="108"/>
    </row>
    <row r="4" spans="1:21" x14ac:dyDescent="0.2">
      <c r="A4" s="2" t="s">
        <v>115</v>
      </c>
      <c r="B4" s="16" t="s">
        <v>11</v>
      </c>
      <c r="C4" s="17"/>
      <c r="D4" s="108"/>
      <c r="E4" s="16"/>
      <c r="F4" s="16"/>
      <c r="G4" s="16"/>
      <c r="H4" s="16"/>
      <c r="I4" s="108"/>
    </row>
    <row r="5" spans="1:21" x14ac:dyDescent="0.2">
      <c r="A5" s="8" t="s">
        <v>62</v>
      </c>
      <c r="B5" s="16" t="s">
        <v>7</v>
      </c>
      <c r="C5" s="17"/>
      <c r="D5" s="16"/>
      <c r="E5" s="16"/>
      <c r="F5" s="16"/>
      <c r="G5" s="16"/>
      <c r="H5" s="16"/>
      <c r="I5" s="108"/>
    </row>
    <row r="6" spans="1:21" x14ac:dyDescent="0.2">
      <c r="A6" s="8"/>
      <c r="B6" s="16" t="s">
        <v>12</v>
      </c>
      <c r="C6" s="17"/>
      <c r="D6" s="16"/>
      <c r="E6" s="16"/>
      <c r="F6" s="16"/>
      <c r="G6" s="16"/>
      <c r="H6" s="16"/>
      <c r="I6" s="108"/>
    </row>
    <row r="7" spans="1:21" x14ac:dyDescent="0.2">
      <c r="A7" s="147" t="s">
        <v>9</v>
      </c>
      <c r="B7" s="148"/>
      <c r="C7" s="149"/>
      <c r="D7" s="149"/>
      <c r="E7" s="149"/>
      <c r="F7" s="149"/>
      <c r="G7" s="149"/>
      <c r="H7" s="150"/>
    </row>
    <row r="8" spans="1:21" x14ac:dyDescent="0.2">
      <c r="A8" s="147" t="s">
        <v>3</v>
      </c>
      <c r="B8" s="151"/>
      <c r="C8" s="152"/>
      <c r="D8" s="152"/>
      <c r="E8" s="152"/>
      <c r="F8" s="152"/>
      <c r="G8" s="152"/>
      <c r="H8" s="153"/>
    </row>
    <row r="9" spans="1:21" x14ac:dyDescent="0.2">
      <c r="A9" s="2"/>
      <c r="B9" s="207"/>
      <c r="C9" s="204"/>
      <c r="D9" s="204"/>
      <c r="E9" s="174"/>
      <c r="F9" s="174"/>
      <c r="G9" s="174"/>
    </row>
    <row r="10" spans="1:21" x14ac:dyDescent="0.2">
      <c r="A10" s="19" t="s">
        <v>279</v>
      </c>
      <c r="B10" s="184" t="s">
        <v>8</v>
      </c>
      <c r="C10" s="185" t="s">
        <v>14</v>
      </c>
      <c r="D10" s="185" t="s">
        <v>251</v>
      </c>
      <c r="E10" s="204"/>
      <c r="F10" s="174"/>
      <c r="G10" s="174"/>
    </row>
    <row r="11" spans="1:21" x14ac:dyDescent="0.2">
      <c r="B11" s="29"/>
      <c r="C11" s="146" t="s">
        <v>278</v>
      </c>
      <c r="D11" s="34"/>
      <c r="E11" s="35"/>
      <c r="F11" s="35"/>
      <c r="G11" s="87"/>
    </row>
    <row r="12" spans="1:21" ht="18" x14ac:dyDescent="0.25">
      <c r="A12" s="104" t="s">
        <v>29</v>
      </c>
      <c r="B12" s="36"/>
      <c r="C12" s="34"/>
      <c r="D12" s="34"/>
      <c r="E12" s="35"/>
      <c r="F12" s="35"/>
      <c r="G12" s="174"/>
      <c r="I12" s="30" t="s">
        <v>17</v>
      </c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2"/>
    </row>
    <row r="13" spans="1:21" x14ac:dyDescent="0.2">
      <c r="A13" s="37" t="s">
        <v>31</v>
      </c>
      <c r="B13" s="187" t="s">
        <v>31</v>
      </c>
      <c r="C13" s="187" t="s">
        <v>31</v>
      </c>
      <c r="D13" s="187" t="s">
        <v>31</v>
      </c>
      <c r="E13" s="187" t="s">
        <v>31</v>
      </c>
      <c r="F13" s="187" t="s">
        <v>31</v>
      </c>
      <c r="G13" s="174"/>
      <c r="I13" s="33" t="s">
        <v>18</v>
      </c>
      <c r="J13" s="33" t="s">
        <v>18</v>
      </c>
      <c r="K13" s="33" t="s">
        <v>18</v>
      </c>
      <c r="L13" s="33" t="s">
        <v>18</v>
      </c>
      <c r="M13" s="33" t="s">
        <v>18</v>
      </c>
      <c r="N13" s="33" t="s">
        <v>18</v>
      </c>
      <c r="O13" s="33" t="s">
        <v>18</v>
      </c>
      <c r="P13" s="33" t="s">
        <v>18</v>
      </c>
      <c r="Q13" s="33" t="s">
        <v>18</v>
      </c>
      <c r="R13" s="33" t="s">
        <v>18</v>
      </c>
      <c r="S13" s="33" t="s">
        <v>18</v>
      </c>
      <c r="T13" s="33" t="s">
        <v>18</v>
      </c>
      <c r="U13" s="32"/>
    </row>
    <row r="14" spans="1:21" x14ac:dyDescent="0.2">
      <c r="A14" s="42"/>
      <c r="B14" s="36"/>
      <c r="C14" s="34"/>
      <c r="D14" s="43"/>
      <c r="E14" s="205"/>
      <c r="F14" s="44"/>
      <c r="G14" s="174"/>
      <c r="I14" s="31"/>
      <c r="J14" s="31"/>
      <c r="K14" s="31"/>
      <c r="L14" s="31" t="s">
        <v>19</v>
      </c>
      <c r="M14" s="31" t="s">
        <v>20</v>
      </c>
      <c r="N14" s="31" t="s">
        <v>21</v>
      </c>
      <c r="O14" s="31" t="s">
        <v>22</v>
      </c>
      <c r="P14" s="31"/>
      <c r="Q14" s="31" t="s">
        <v>19</v>
      </c>
      <c r="R14" s="31" t="s">
        <v>20</v>
      </c>
      <c r="S14" s="31" t="s">
        <v>21</v>
      </c>
      <c r="T14" s="31" t="s">
        <v>22</v>
      </c>
      <c r="U14" s="32"/>
    </row>
    <row r="15" spans="1:21" x14ac:dyDescent="0.2">
      <c r="A15" s="42"/>
      <c r="B15" s="45"/>
      <c r="C15" s="46"/>
      <c r="D15" s="47"/>
      <c r="E15" s="48"/>
      <c r="F15" s="48"/>
      <c r="G15" s="208"/>
      <c r="I15" s="31"/>
      <c r="J15" s="31" t="s">
        <v>5</v>
      </c>
      <c r="K15" s="31"/>
      <c r="L15" s="31" t="s">
        <v>23</v>
      </c>
      <c r="M15" s="31" t="s">
        <v>23</v>
      </c>
      <c r="N15" s="31" t="s">
        <v>23</v>
      </c>
      <c r="O15" s="31" t="s">
        <v>23</v>
      </c>
      <c r="P15" s="31"/>
      <c r="Q15" s="31" t="s">
        <v>23</v>
      </c>
      <c r="R15" s="31" t="s">
        <v>23</v>
      </c>
      <c r="S15" s="31" t="s">
        <v>23</v>
      </c>
      <c r="T15" s="31" t="s">
        <v>23</v>
      </c>
      <c r="U15" s="32"/>
    </row>
    <row r="16" spans="1:21" x14ac:dyDescent="0.2">
      <c r="A16" s="85" t="s">
        <v>117</v>
      </c>
      <c r="B16" s="36"/>
      <c r="C16" s="34"/>
      <c r="D16" s="34"/>
      <c r="E16" s="50" t="s">
        <v>35</v>
      </c>
      <c r="F16" s="51" t="s">
        <v>114</v>
      </c>
      <c r="I16" s="31"/>
      <c r="J16" s="31" t="s">
        <v>24</v>
      </c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2"/>
    </row>
    <row r="17" spans="1:21" x14ac:dyDescent="0.2">
      <c r="A17" s="42"/>
      <c r="B17" s="36"/>
      <c r="C17" s="34"/>
      <c r="D17" s="34"/>
      <c r="E17" s="200"/>
      <c r="F17" s="51" t="s">
        <v>37</v>
      </c>
      <c r="I17" s="31" t="s">
        <v>25</v>
      </c>
      <c r="J17" s="31" t="s">
        <v>26</v>
      </c>
      <c r="K17" s="31" t="s">
        <v>27</v>
      </c>
      <c r="L17" s="105" t="s">
        <v>95</v>
      </c>
      <c r="M17" s="31"/>
      <c r="N17" s="31"/>
      <c r="O17" s="31"/>
      <c r="P17" s="31"/>
      <c r="Q17" s="105" t="s">
        <v>96</v>
      </c>
      <c r="R17" s="31"/>
      <c r="S17" s="31"/>
      <c r="T17" s="31"/>
      <c r="U17" s="32"/>
    </row>
    <row r="18" spans="1:21" x14ac:dyDescent="0.2">
      <c r="A18" s="42" t="s">
        <v>85</v>
      </c>
      <c r="B18" s="36"/>
      <c r="C18" s="34"/>
      <c r="D18" s="34"/>
      <c r="E18" s="54">
        <f>IF(E16="Corn Silage",T50,IF(E16="Hay 1 Silage",Q50, IF(E16="Hay 2 Silage",R50,IF(E16="Hay 3 Silage", S50,IF(E16="My Silage",F20)))))</f>
        <v>2721.6</v>
      </c>
      <c r="F18" s="55" t="str">
        <f>IF(E16="My Silage", " ", "From Silage Dry Matter Calculator")</f>
        <v xml:space="preserve"> </v>
      </c>
      <c r="G18" s="56"/>
      <c r="H18" s="56"/>
      <c r="I18" s="33" t="s">
        <v>18</v>
      </c>
      <c r="J18" s="33" t="s">
        <v>18</v>
      </c>
      <c r="K18" s="33" t="s">
        <v>18</v>
      </c>
      <c r="L18" s="33" t="s">
        <v>18</v>
      </c>
      <c r="M18" s="33" t="s">
        <v>18</v>
      </c>
      <c r="N18" s="33" t="s">
        <v>18</v>
      </c>
      <c r="O18" s="33" t="s">
        <v>18</v>
      </c>
      <c r="P18" s="33" t="s">
        <v>18</v>
      </c>
      <c r="Q18" s="33" t="s">
        <v>18</v>
      </c>
      <c r="R18" s="33" t="s">
        <v>18</v>
      </c>
      <c r="S18" s="33" t="s">
        <v>18</v>
      </c>
      <c r="T18" s="33" t="s">
        <v>18</v>
      </c>
      <c r="U18" s="32"/>
    </row>
    <row r="19" spans="1:21" x14ac:dyDescent="0.2">
      <c r="A19" s="42"/>
      <c r="B19" s="36"/>
      <c r="C19" s="34"/>
      <c r="D19" s="34"/>
      <c r="E19" s="200"/>
      <c r="F19" s="55" t="str">
        <f>IF(E16="My Silage", " ", "Table, Row 50")</f>
        <v xml:space="preserve"> </v>
      </c>
      <c r="G19" s="56"/>
      <c r="H19" s="56"/>
      <c r="I19" s="31" t="s">
        <v>30</v>
      </c>
      <c r="J19" s="31"/>
      <c r="K19" s="31">
        <f>SUM(J20:J23)</f>
        <v>68</v>
      </c>
      <c r="L19" s="31"/>
      <c r="M19" s="31"/>
      <c r="N19" s="31"/>
      <c r="O19" s="31"/>
      <c r="P19" s="31"/>
      <c r="Q19" s="31"/>
      <c r="R19" s="31"/>
      <c r="S19" s="31"/>
      <c r="T19" s="31"/>
      <c r="U19" s="32"/>
    </row>
    <row r="20" spans="1:21" x14ac:dyDescent="0.2">
      <c r="A20" s="58" t="str">
        <f>IF(E16="My Silage", "My Silage, if not from Silage Dry Matter Calculator Table (Row 50) (Kg DM/Herd-Day) =", "  ")</f>
        <v>My Silage, if not from Silage Dry Matter Calculator Table (Row 50) (Kg DM/Herd-Day) =</v>
      </c>
      <c r="B20" s="59"/>
      <c r="C20" s="59"/>
      <c r="D20" s="34"/>
      <c r="E20" s="200"/>
      <c r="F20" s="60">
        <v>2721.6</v>
      </c>
      <c r="G20" s="61" t="str">
        <f>IF(E16="My Silage","My Silage","   ")</f>
        <v>My Silage</v>
      </c>
      <c r="I20" s="38" t="s">
        <v>32</v>
      </c>
      <c r="J20" s="39">
        <v>8</v>
      </c>
      <c r="K20" s="53"/>
      <c r="L20" s="39">
        <v>0</v>
      </c>
      <c r="M20" s="39">
        <v>0</v>
      </c>
      <c r="N20" s="39">
        <v>9</v>
      </c>
      <c r="O20" s="39">
        <v>0</v>
      </c>
      <c r="P20" s="31"/>
      <c r="Q20" s="41">
        <f>L20*$J$20</f>
        <v>0</v>
      </c>
      <c r="R20" s="41">
        <f t="shared" ref="R20:T20" si="0">M20*$J$20</f>
        <v>0</v>
      </c>
      <c r="S20" s="41">
        <f t="shared" si="0"/>
        <v>72</v>
      </c>
      <c r="T20" s="41">
        <f t="shared" si="0"/>
        <v>0</v>
      </c>
      <c r="U20" s="32"/>
    </row>
    <row r="21" spans="1:21" x14ac:dyDescent="0.2">
      <c r="A21" s="42" t="s">
        <v>41</v>
      </c>
      <c r="B21" s="36"/>
      <c r="C21" s="34"/>
      <c r="D21" s="34"/>
      <c r="E21" s="62">
        <v>10</v>
      </c>
      <c r="F21" s="35"/>
      <c r="I21" s="38" t="s">
        <v>33</v>
      </c>
      <c r="J21" s="39">
        <v>22</v>
      </c>
      <c r="K21" s="53"/>
      <c r="L21" s="39">
        <v>0</v>
      </c>
      <c r="M21" s="39">
        <v>4.5</v>
      </c>
      <c r="N21" s="39">
        <v>6.8</v>
      </c>
      <c r="O21" s="39">
        <v>0</v>
      </c>
      <c r="P21" s="31"/>
      <c r="Q21" s="41">
        <f>L21*$J$21</f>
        <v>0</v>
      </c>
      <c r="R21" s="41">
        <f t="shared" ref="R21:T21" si="1">M21*$J$21</f>
        <v>99</v>
      </c>
      <c r="S21" s="41">
        <f t="shared" si="1"/>
        <v>149.6</v>
      </c>
      <c r="T21" s="41">
        <f t="shared" si="1"/>
        <v>0</v>
      </c>
      <c r="U21" s="32"/>
    </row>
    <row r="22" spans="1:21" x14ac:dyDescent="0.2">
      <c r="A22" s="42" t="s">
        <v>42</v>
      </c>
      <c r="B22" s="36"/>
      <c r="C22" s="34"/>
      <c r="D22" s="34"/>
      <c r="E22" s="52"/>
      <c r="F22" s="35"/>
      <c r="I22" s="38" t="s">
        <v>34</v>
      </c>
      <c r="J22" s="39">
        <v>22</v>
      </c>
      <c r="K22" s="53"/>
      <c r="L22" s="39">
        <v>0</v>
      </c>
      <c r="M22" s="39">
        <v>4.5</v>
      </c>
      <c r="N22" s="39">
        <v>6.8</v>
      </c>
      <c r="O22" s="39">
        <v>0</v>
      </c>
      <c r="P22" s="31"/>
      <c r="Q22" s="41">
        <f>L22*$J$22</f>
        <v>0</v>
      </c>
      <c r="R22" s="41">
        <f t="shared" ref="R22:T22" si="2">M22*$J$22</f>
        <v>99</v>
      </c>
      <c r="S22" s="41">
        <f t="shared" si="2"/>
        <v>149.6</v>
      </c>
      <c r="T22" s="41">
        <f t="shared" si="2"/>
        <v>0</v>
      </c>
      <c r="U22" s="32"/>
    </row>
    <row r="23" spans="1:21" x14ac:dyDescent="0.2">
      <c r="A23" s="42"/>
      <c r="B23" s="36"/>
      <c r="C23" s="34"/>
      <c r="D23" s="34"/>
      <c r="E23" s="52"/>
      <c r="F23" s="35"/>
      <c r="G23" s="63"/>
      <c r="H23" s="64"/>
      <c r="I23" s="38" t="s">
        <v>36</v>
      </c>
      <c r="J23" s="39">
        <v>16</v>
      </c>
      <c r="K23" s="53"/>
      <c r="L23" s="39">
        <v>0</v>
      </c>
      <c r="M23" s="39">
        <v>9</v>
      </c>
      <c r="N23" s="39">
        <v>0</v>
      </c>
      <c r="O23" s="39">
        <v>1.4</v>
      </c>
      <c r="P23" s="31"/>
      <c r="Q23" s="41">
        <f>L23*$J$23</f>
        <v>0</v>
      </c>
      <c r="R23" s="41">
        <f t="shared" ref="R23:T23" si="3">M23*$J$23</f>
        <v>144</v>
      </c>
      <c r="S23" s="41">
        <f t="shared" si="3"/>
        <v>0</v>
      </c>
      <c r="T23" s="41">
        <f t="shared" si="3"/>
        <v>22.4</v>
      </c>
      <c r="U23" s="32"/>
    </row>
    <row r="24" spans="1:21" x14ac:dyDescent="0.2">
      <c r="A24" s="42" t="s">
        <v>44</v>
      </c>
      <c r="B24" s="36"/>
      <c r="C24" s="34"/>
      <c r="D24" s="34"/>
      <c r="E24" s="62">
        <v>5</v>
      </c>
      <c r="F24" s="35"/>
      <c r="G24" s="63"/>
      <c r="H24" s="64"/>
      <c r="I24" s="31"/>
      <c r="J24" s="53"/>
      <c r="K24" s="40"/>
      <c r="L24" s="53"/>
      <c r="M24" s="53"/>
      <c r="N24" s="53"/>
      <c r="O24" s="53"/>
      <c r="P24" s="31"/>
      <c r="Q24" s="41"/>
      <c r="R24" s="41"/>
      <c r="S24" s="41"/>
      <c r="T24" s="41"/>
      <c r="U24" s="32"/>
    </row>
    <row r="25" spans="1:21" x14ac:dyDescent="0.2">
      <c r="A25" s="42" t="s">
        <v>46</v>
      </c>
      <c r="B25" s="36"/>
      <c r="C25" s="34"/>
      <c r="D25" s="34"/>
      <c r="E25" s="52"/>
      <c r="F25" s="35"/>
      <c r="G25" s="63"/>
      <c r="H25" s="64"/>
      <c r="I25" s="31" t="s">
        <v>39</v>
      </c>
      <c r="J25" s="39">
        <v>20</v>
      </c>
      <c r="K25" s="57">
        <f>J25</f>
        <v>20</v>
      </c>
      <c r="L25" s="39">
        <v>6.8</v>
      </c>
      <c r="M25" s="39">
        <v>4.5</v>
      </c>
      <c r="N25" s="39">
        <v>0</v>
      </c>
      <c r="O25" s="39">
        <v>1.4</v>
      </c>
      <c r="P25" s="31"/>
      <c r="Q25" s="41">
        <f>L25*$J$25</f>
        <v>136</v>
      </c>
      <c r="R25" s="41">
        <f t="shared" ref="R25:T25" si="4">M25*$J$25</f>
        <v>90</v>
      </c>
      <c r="S25" s="41">
        <f t="shared" si="4"/>
        <v>0</v>
      </c>
      <c r="T25" s="41">
        <f t="shared" si="4"/>
        <v>28</v>
      </c>
      <c r="U25" s="32"/>
    </row>
    <row r="26" spans="1:21" x14ac:dyDescent="0.2">
      <c r="A26" s="42"/>
      <c r="B26" s="36"/>
      <c r="C26" s="34"/>
      <c r="D26" s="34"/>
      <c r="E26" s="52"/>
      <c r="F26" s="35"/>
      <c r="G26" s="63"/>
      <c r="H26" s="66"/>
      <c r="I26" s="31"/>
      <c r="J26" s="53"/>
      <c r="K26" s="57"/>
      <c r="L26" s="53"/>
      <c r="M26" s="53"/>
      <c r="N26" s="53"/>
      <c r="O26" s="53"/>
      <c r="P26" s="31"/>
      <c r="Q26" s="41"/>
      <c r="R26" s="41"/>
      <c r="S26" s="41"/>
      <c r="T26" s="41"/>
      <c r="U26" s="32"/>
    </row>
    <row r="27" spans="1:21" x14ac:dyDescent="0.2">
      <c r="A27" s="85" t="s">
        <v>116</v>
      </c>
      <c r="B27" s="36"/>
      <c r="C27" s="34"/>
      <c r="D27" s="34"/>
      <c r="E27" s="62">
        <v>705</v>
      </c>
      <c r="F27" s="35"/>
      <c r="G27" s="63"/>
      <c r="H27" s="67"/>
      <c r="I27" s="31" t="s">
        <v>40</v>
      </c>
      <c r="J27" s="39">
        <v>6</v>
      </c>
      <c r="K27" s="57">
        <f>J27</f>
        <v>6</v>
      </c>
      <c r="L27" s="39">
        <v>4.5</v>
      </c>
      <c r="M27" s="39">
        <v>2.2999999999999998</v>
      </c>
      <c r="N27" s="39">
        <v>0</v>
      </c>
      <c r="O27" s="39">
        <v>4.5</v>
      </c>
      <c r="P27" s="31"/>
      <c r="Q27" s="41">
        <f>L27*$J27</f>
        <v>27</v>
      </c>
      <c r="R27" s="41">
        <f>M27*$J$27</f>
        <v>13.799999999999999</v>
      </c>
      <c r="S27" s="41">
        <f>N27*$J$27</f>
        <v>0</v>
      </c>
      <c r="T27" s="41">
        <f>O27*$J$27</f>
        <v>27</v>
      </c>
      <c r="U27" s="32"/>
    </row>
    <row r="28" spans="1:21" x14ac:dyDescent="0.2">
      <c r="A28" s="42"/>
      <c r="B28" s="36"/>
      <c r="C28" s="34"/>
      <c r="D28" s="34"/>
      <c r="E28" s="52"/>
      <c r="F28" s="35"/>
      <c r="G28" s="68"/>
      <c r="H28" s="67"/>
      <c r="I28" s="31"/>
      <c r="J28" s="53"/>
      <c r="K28" s="57"/>
      <c r="L28" s="53"/>
      <c r="M28" s="53"/>
      <c r="N28" s="53"/>
      <c r="O28" s="53"/>
      <c r="P28" s="31"/>
      <c r="Q28" s="41"/>
      <c r="R28" s="41"/>
      <c r="S28" s="41"/>
      <c r="T28" s="41"/>
      <c r="U28" s="32"/>
    </row>
    <row r="29" spans="1:21" x14ac:dyDescent="0.2">
      <c r="A29" s="42" t="s">
        <v>50</v>
      </c>
      <c r="B29" s="36"/>
      <c r="C29" s="34"/>
      <c r="D29" s="34"/>
      <c r="E29" s="62">
        <v>67</v>
      </c>
      <c r="F29" s="35"/>
      <c r="G29" s="63"/>
      <c r="H29" s="67"/>
      <c r="I29" s="31" t="s">
        <v>43</v>
      </c>
      <c r="J29" s="39">
        <v>110</v>
      </c>
      <c r="K29" s="57">
        <f>J29</f>
        <v>110</v>
      </c>
      <c r="L29" s="39">
        <v>4.5</v>
      </c>
      <c r="M29" s="39">
        <v>0</v>
      </c>
      <c r="N29" s="39">
        <v>0</v>
      </c>
      <c r="O29" s="39">
        <v>6.8</v>
      </c>
      <c r="P29" s="31"/>
      <c r="Q29" s="41">
        <f>L29*$J$29</f>
        <v>495</v>
      </c>
      <c r="R29" s="41">
        <f t="shared" ref="R29:T29" si="5">M29*$J$29</f>
        <v>0</v>
      </c>
      <c r="S29" s="41">
        <f t="shared" si="5"/>
        <v>0</v>
      </c>
      <c r="T29" s="41">
        <f t="shared" si="5"/>
        <v>748</v>
      </c>
      <c r="U29" s="32"/>
    </row>
    <row r="30" spans="1:21" x14ac:dyDescent="0.2">
      <c r="A30" s="42"/>
      <c r="B30" s="36"/>
      <c r="C30" s="34"/>
      <c r="D30" s="34"/>
      <c r="E30" s="52"/>
      <c r="F30" s="35"/>
      <c r="G30" s="70"/>
      <c r="H30" s="71"/>
      <c r="I30" s="31"/>
      <c r="J30" s="65"/>
      <c r="K30" s="57"/>
      <c r="L30" s="65"/>
      <c r="M30" s="65"/>
      <c r="N30" s="65"/>
      <c r="O30" s="65"/>
      <c r="P30" s="31"/>
      <c r="Q30" s="41"/>
      <c r="R30" s="41"/>
      <c r="S30" s="41"/>
      <c r="T30" s="41"/>
      <c r="U30" s="32"/>
    </row>
    <row r="31" spans="1:21" x14ac:dyDescent="0.2">
      <c r="A31" s="85" t="s">
        <v>97</v>
      </c>
      <c r="B31" s="36"/>
      <c r="C31" s="34"/>
      <c r="D31" s="34"/>
      <c r="E31" s="62">
        <v>0.30499999999999999</v>
      </c>
      <c r="F31" s="35"/>
      <c r="G31" s="74"/>
      <c r="H31" s="71"/>
      <c r="I31" s="31" t="s">
        <v>45</v>
      </c>
      <c r="J31" s="65"/>
      <c r="K31" s="57">
        <f>SUM(J32:J34)</f>
        <v>226</v>
      </c>
      <c r="L31" s="65"/>
      <c r="M31" s="65"/>
      <c r="N31" s="65"/>
      <c r="O31" s="65"/>
      <c r="P31" s="31"/>
      <c r="Q31" s="41"/>
      <c r="R31" s="41"/>
      <c r="S31" s="41"/>
      <c r="T31" s="41"/>
      <c r="U31" s="32"/>
    </row>
    <row r="32" spans="1:21" x14ac:dyDescent="0.2">
      <c r="A32" s="42"/>
      <c r="B32" s="36"/>
      <c r="C32" s="34"/>
      <c r="D32" s="34"/>
      <c r="E32" s="52"/>
      <c r="F32" s="35"/>
      <c r="H32" s="75"/>
      <c r="I32" s="38" t="s">
        <v>47</v>
      </c>
      <c r="J32" s="39">
        <v>90</v>
      </c>
      <c r="K32" s="40"/>
      <c r="L32" s="39">
        <v>4.5</v>
      </c>
      <c r="M32" s="39">
        <v>0</v>
      </c>
      <c r="N32" s="39">
        <v>0</v>
      </c>
      <c r="O32" s="39">
        <v>6.8</v>
      </c>
      <c r="P32" s="31"/>
      <c r="Q32" s="41">
        <f>L32*$J$32</f>
        <v>405</v>
      </c>
      <c r="R32" s="41">
        <f t="shared" ref="R32:T32" si="6">M32*$J$32</f>
        <v>0</v>
      </c>
      <c r="S32" s="41">
        <f t="shared" si="6"/>
        <v>0</v>
      </c>
      <c r="T32" s="41">
        <f t="shared" si="6"/>
        <v>612</v>
      </c>
      <c r="U32" s="32"/>
    </row>
    <row r="33" spans="1:21" x14ac:dyDescent="0.2">
      <c r="A33" s="93" t="s">
        <v>98</v>
      </c>
      <c r="B33" s="36"/>
      <c r="C33" s="34"/>
      <c r="D33" s="34"/>
      <c r="E33" s="62">
        <v>360</v>
      </c>
      <c r="F33" s="35"/>
      <c r="I33" s="38" t="s">
        <v>48</v>
      </c>
      <c r="J33" s="39">
        <v>68</v>
      </c>
      <c r="K33" s="40"/>
      <c r="L33" s="39">
        <v>6.8</v>
      </c>
      <c r="M33" s="39">
        <v>2.2999999999999998</v>
      </c>
      <c r="N33" s="39">
        <v>0</v>
      </c>
      <c r="O33" s="39">
        <v>4.5</v>
      </c>
      <c r="P33" s="31"/>
      <c r="Q33" s="41">
        <f>L33*$J$33</f>
        <v>462.4</v>
      </c>
      <c r="R33" s="41">
        <f t="shared" ref="R33:T33" si="7">M33*$J$33</f>
        <v>156.39999999999998</v>
      </c>
      <c r="S33" s="41">
        <f t="shared" si="7"/>
        <v>0</v>
      </c>
      <c r="T33" s="41">
        <f t="shared" si="7"/>
        <v>306</v>
      </c>
      <c r="U33" s="32"/>
    </row>
    <row r="34" spans="1:21" x14ac:dyDescent="0.2">
      <c r="A34" s="42"/>
      <c r="B34" s="36"/>
      <c r="C34" s="34"/>
      <c r="D34" s="34"/>
      <c r="E34" s="52"/>
      <c r="F34" s="35"/>
      <c r="I34" s="38" t="s">
        <v>49</v>
      </c>
      <c r="J34" s="39">
        <v>68</v>
      </c>
      <c r="K34" s="40"/>
      <c r="L34" s="39">
        <v>4.5</v>
      </c>
      <c r="M34" s="39">
        <v>4.5</v>
      </c>
      <c r="N34" s="39">
        <v>0</v>
      </c>
      <c r="O34" s="39">
        <v>4.5</v>
      </c>
      <c r="P34" s="31"/>
      <c r="Q34" s="41">
        <f>L34*$J$34</f>
        <v>306</v>
      </c>
      <c r="R34" s="41">
        <f t="shared" ref="R34:T34" si="8">M34*$J$34</f>
        <v>306</v>
      </c>
      <c r="S34" s="41">
        <f t="shared" si="8"/>
        <v>0</v>
      </c>
      <c r="T34" s="41">
        <f t="shared" si="8"/>
        <v>306</v>
      </c>
      <c r="U34" s="32"/>
    </row>
    <row r="35" spans="1:21" x14ac:dyDescent="0.2">
      <c r="A35" s="93" t="s">
        <v>120</v>
      </c>
      <c r="B35" s="59"/>
      <c r="C35" s="95"/>
      <c r="D35" s="59"/>
      <c r="E35" s="9">
        <v>3</v>
      </c>
      <c r="F35" s="35"/>
      <c r="I35" s="31"/>
      <c r="J35" s="65"/>
      <c r="K35" s="57"/>
      <c r="L35" s="65"/>
      <c r="M35" s="65"/>
      <c r="N35" s="65"/>
      <c r="O35" s="65"/>
      <c r="P35" s="31"/>
      <c r="Q35" s="41"/>
      <c r="R35" s="41"/>
      <c r="S35" s="41"/>
      <c r="T35" s="41"/>
      <c r="U35" s="32"/>
    </row>
    <row r="36" spans="1:21" x14ac:dyDescent="0.2">
      <c r="A36" s="93" t="s">
        <v>73</v>
      </c>
      <c r="B36" s="59"/>
      <c r="C36" s="96"/>
      <c r="D36" s="59"/>
      <c r="E36" s="95"/>
      <c r="F36" s="35"/>
      <c r="I36" s="31" t="s">
        <v>51</v>
      </c>
      <c r="J36" s="39">
        <v>10</v>
      </c>
      <c r="K36" s="69">
        <f>J36</f>
        <v>10</v>
      </c>
      <c r="L36" s="39">
        <v>11.3</v>
      </c>
      <c r="M36" s="39">
        <v>2.2999999999999998</v>
      </c>
      <c r="N36" s="39">
        <v>0</v>
      </c>
      <c r="O36" s="39">
        <v>2.2999999999999998</v>
      </c>
      <c r="P36" s="31"/>
      <c r="Q36" s="41">
        <f>L36*$J$36</f>
        <v>113</v>
      </c>
      <c r="R36" s="41">
        <f t="shared" ref="R36:T36" si="9">M36*$J$36</f>
        <v>23</v>
      </c>
      <c r="S36" s="41">
        <f t="shared" si="9"/>
        <v>0</v>
      </c>
      <c r="T36" s="41">
        <f t="shared" si="9"/>
        <v>23</v>
      </c>
      <c r="U36" s="32"/>
    </row>
    <row r="37" spans="1:21" x14ac:dyDescent="0.2">
      <c r="A37" s="59"/>
      <c r="B37" s="59"/>
      <c r="C37" s="96"/>
      <c r="D37" s="59"/>
      <c r="E37" s="95"/>
      <c r="F37" s="77"/>
      <c r="I37" s="33" t="s">
        <v>52</v>
      </c>
      <c r="J37" s="72" t="s">
        <v>52</v>
      </c>
      <c r="K37" s="73" t="s">
        <v>52</v>
      </c>
      <c r="L37" s="72" t="s">
        <v>52</v>
      </c>
      <c r="M37" s="72" t="s">
        <v>52</v>
      </c>
      <c r="N37" s="72" t="s">
        <v>52</v>
      </c>
      <c r="O37" s="72" t="s">
        <v>52</v>
      </c>
      <c r="P37" s="33" t="s">
        <v>52</v>
      </c>
      <c r="Q37" s="33" t="s">
        <v>52</v>
      </c>
      <c r="R37" s="33" t="s">
        <v>52</v>
      </c>
      <c r="S37" s="33" t="s">
        <v>52</v>
      </c>
      <c r="T37" s="33" t="s">
        <v>52</v>
      </c>
      <c r="U37" s="32"/>
    </row>
    <row r="38" spans="1:21" x14ac:dyDescent="0.2">
      <c r="A38" s="93" t="s">
        <v>121</v>
      </c>
      <c r="B38" s="59"/>
      <c r="C38" s="95"/>
      <c r="D38" s="59"/>
      <c r="E38" s="9">
        <v>3</v>
      </c>
      <c r="F38" s="59"/>
      <c r="I38" s="31" t="s">
        <v>54</v>
      </c>
      <c r="J38" s="65" t="s">
        <v>27</v>
      </c>
      <c r="K38" s="57">
        <f>SUM(K18:K36)</f>
        <v>440</v>
      </c>
      <c r="L38" s="65"/>
      <c r="M38" s="65"/>
      <c r="N38" s="65"/>
      <c r="O38" s="65"/>
      <c r="P38" s="31"/>
      <c r="Q38" s="31"/>
      <c r="R38" s="31"/>
      <c r="S38" s="31"/>
      <c r="T38" s="31"/>
      <c r="U38" s="32"/>
    </row>
    <row r="39" spans="1:21" x14ac:dyDescent="0.2">
      <c r="A39" s="93" t="s">
        <v>74</v>
      </c>
      <c r="B39" s="59"/>
      <c r="C39" s="96"/>
      <c r="D39" s="59"/>
      <c r="E39" s="96"/>
      <c r="F39" s="44"/>
      <c r="I39" s="76"/>
      <c r="J39" s="65"/>
      <c r="K39" s="57"/>
      <c r="L39" s="65"/>
      <c r="M39" s="65"/>
      <c r="N39" s="65"/>
      <c r="O39" s="65"/>
      <c r="P39" s="31"/>
      <c r="Q39" s="31"/>
      <c r="R39" s="31"/>
      <c r="S39" s="31"/>
      <c r="T39" s="31"/>
      <c r="U39" s="32"/>
    </row>
    <row r="40" spans="1:21" x14ac:dyDescent="0.2">
      <c r="A40" s="97"/>
      <c r="B40" s="98"/>
      <c r="C40" s="46"/>
      <c r="D40" s="46"/>
      <c r="E40" s="101"/>
      <c r="F40" s="101"/>
      <c r="I40" s="31" t="s">
        <v>55</v>
      </c>
      <c r="J40" s="65"/>
      <c r="K40" s="57"/>
      <c r="L40" s="65"/>
      <c r="M40" s="65"/>
      <c r="N40" s="65"/>
      <c r="O40" s="65"/>
      <c r="P40" s="31"/>
      <c r="Q40" s="31"/>
      <c r="R40" s="31"/>
      <c r="S40" s="31"/>
      <c r="T40" s="31"/>
      <c r="U40" s="32"/>
    </row>
    <row r="41" spans="1:21" x14ac:dyDescent="0.2">
      <c r="A41" s="93" t="s">
        <v>122</v>
      </c>
      <c r="B41" s="59"/>
      <c r="C41" s="99"/>
      <c r="D41" s="59"/>
      <c r="E41" s="10">
        <v>3.05</v>
      </c>
      <c r="F41" s="102"/>
      <c r="I41" s="38" t="s">
        <v>56</v>
      </c>
      <c r="J41" s="39">
        <v>48</v>
      </c>
      <c r="K41" s="40"/>
      <c r="L41" s="39">
        <v>1.4</v>
      </c>
      <c r="M41" s="39">
        <v>0</v>
      </c>
      <c r="N41" s="39">
        <v>0</v>
      </c>
      <c r="O41" s="39">
        <v>0.9</v>
      </c>
      <c r="P41" s="31"/>
      <c r="Q41" s="41">
        <f>L41*$J$41</f>
        <v>67.199999999999989</v>
      </c>
      <c r="R41" s="41">
        <f t="shared" ref="R41:T41" si="10">M41*$J$41</f>
        <v>0</v>
      </c>
      <c r="S41" s="41">
        <f t="shared" si="10"/>
        <v>0</v>
      </c>
      <c r="T41" s="41">
        <f t="shared" si="10"/>
        <v>43.2</v>
      </c>
      <c r="U41" s="32"/>
    </row>
    <row r="42" spans="1:21" x14ac:dyDescent="0.2">
      <c r="A42" s="93" t="s">
        <v>75</v>
      </c>
      <c r="B42" s="59"/>
      <c r="C42" s="100"/>
      <c r="D42" s="100"/>
      <c r="E42" s="96" t="s">
        <v>0</v>
      </c>
      <c r="F42" s="102"/>
      <c r="I42" s="38" t="s">
        <v>57</v>
      </c>
      <c r="J42" s="39">
        <v>48</v>
      </c>
      <c r="K42" s="40"/>
      <c r="L42" s="39">
        <v>2.2999999999999998</v>
      </c>
      <c r="M42" s="39">
        <v>0</v>
      </c>
      <c r="N42" s="39">
        <v>0</v>
      </c>
      <c r="O42" s="39">
        <v>1.4</v>
      </c>
      <c r="P42" s="31"/>
      <c r="Q42" s="41">
        <f>L42*$J$42</f>
        <v>110.39999999999999</v>
      </c>
      <c r="R42" s="41">
        <f t="shared" ref="R42:T42" si="11">M42*$J$42</f>
        <v>0</v>
      </c>
      <c r="S42" s="41">
        <f t="shared" si="11"/>
        <v>0</v>
      </c>
      <c r="T42" s="41">
        <f t="shared" si="11"/>
        <v>67.199999999999989</v>
      </c>
      <c r="U42" s="32"/>
    </row>
    <row r="43" spans="1:21" x14ac:dyDescent="0.2">
      <c r="A43" s="81"/>
      <c r="B43" s="84"/>
      <c r="C43" s="82"/>
      <c r="D43" s="82"/>
      <c r="E43" s="83"/>
      <c r="F43" s="83"/>
      <c r="I43" s="38" t="s">
        <v>58</v>
      </c>
      <c r="J43" s="39">
        <v>72</v>
      </c>
      <c r="K43" s="40"/>
      <c r="L43" s="39">
        <v>1.8</v>
      </c>
      <c r="M43" s="39">
        <v>0.9</v>
      </c>
      <c r="N43" s="39">
        <v>0</v>
      </c>
      <c r="O43" s="39">
        <v>2.2999999999999998</v>
      </c>
      <c r="P43" s="31"/>
      <c r="Q43" s="41">
        <f>L43*$J$43</f>
        <v>129.6</v>
      </c>
      <c r="R43" s="41">
        <f t="shared" ref="R43:T43" si="12">M43*$J$43</f>
        <v>64.8</v>
      </c>
      <c r="S43" s="41">
        <f t="shared" si="12"/>
        <v>0</v>
      </c>
      <c r="T43" s="41">
        <f t="shared" si="12"/>
        <v>165.6</v>
      </c>
      <c r="U43" s="32"/>
    </row>
    <row r="44" spans="1:21" x14ac:dyDescent="0.2">
      <c r="A44" s="32"/>
      <c r="B44" s="32"/>
      <c r="C44" s="21"/>
      <c r="D44" s="21"/>
      <c r="E44" s="1"/>
      <c r="G44" s="49"/>
      <c r="I44" s="38" t="s">
        <v>59</v>
      </c>
      <c r="J44" s="39">
        <v>48</v>
      </c>
      <c r="K44" s="40"/>
      <c r="L44" s="39">
        <v>1.8</v>
      </c>
      <c r="M44" s="39">
        <v>1.8</v>
      </c>
      <c r="N44" s="39">
        <v>0</v>
      </c>
      <c r="O44" s="39">
        <v>2.7</v>
      </c>
      <c r="P44" s="31"/>
      <c r="Q44" s="41">
        <f>L44*$J$44</f>
        <v>86.4</v>
      </c>
      <c r="R44" s="41">
        <f t="shared" ref="R44:T44" si="13">M44*$J$44</f>
        <v>86.4</v>
      </c>
      <c r="S44" s="41">
        <f t="shared" si="13"/>
        <v>0</v>
      </c>
      <c r="T44" s="41">
        <f t="shared" si="13"/>
        <v>129.60000000000002</v>
      </c>
      <c r="U44" s="32"/>
    </row>
    <row r="45" spans="1:21" x14ac:dyDescent="0.2">
      <c r="C45" s="1"/>
      <c r="D45" s="22"/>
      <c r="E45" s="22"/>
      <c r="F45" s="174"/>
      <c r="G45" s="174"/>
      <c r="I45" s="38" t="s">
        <v>60</v>
      </c>
      <c r="J45" s="39">
        <v>156</v>
      </c>
      <c r="K45" s="40"/>
      <c r="L45" s="39">
        <v>3.2</v>
      </c>
      <c r="M45" s="39">
        <v>1.8</v>
      </c>
      <c r="N45" s="39">
        <v>0</v>
      </c>
      <c r="O45" s="39">
        <v>4.0999999999999996</v>
      </c>
      <c r="P45" s="31"/>
      <c r="Q45" s="41">
        <f>L45*$J$45</f>
        <v>499.20000000000005</v>
      </c>
      <c r="R45" s="41">
        <f t="shared" ref="R45:T45" si="14">M45*$J$45</f>
        <v>280.8</v>
      </c>
      <c r="S45" s="41">
        <f t="shared" si="14"/>
        <v>0</v>
      </c>
      <c r="T45" s="41">
        <f t="shared" si="14"/>
        <v>639.59999999999991</v>
      </c>
      <c r="U45" s="32"/>
    </row>
    <row r="46" spans="1:21" ht="18" x14ac:dyDescent="0.25">
      <c r="A46" s="109" t="s">
        <v>79</v>
      </c>
      <c r="B46" s="108"/>
      <c r="C46" s="110"/>
      <c r="D46" s="108"/>
      <c r="E46" s="155"/>
      <c r="F46" s="174"/>
      <c r="G46" s="209"/>
      <c r="H46" s="32"/>
      <c r="I46" s="33" t="s">
        <v>18</v>
      </c>
      <c r="J46" s="33" t="s">
        <v>18</v>
      </c>
      <c r="K46" s="73" t="s">
        <v>18</v>
      </c>
      <c r="L46" s="33" t="s">
        <v>18</v>
      </c>
      <c r="M46" s="33" t="s">
        <v>18</v>
      </c>
      <c r="N46" s="33" t="s">
        <v>18</v>
      </c>
      <c r="O46" s="33" t="s">
        <v>18</v>
      </c>
      <c r="P46" s="33" t="s">
        <v>18</v>
      </c>
      <c r="Q46" s="33" t="s">
        <v>18</v>
      </c>
      <c r="R46" s="33" t="s">
        <v>18</v>
      </c>
      <c r="S46" s="33" t="s">
        <v>18</v>
      </c>
      <c r="T46" s="33" t="s">
        <v>18</v>
      </c>
      <c r="U46" s="32"/>
    </row>
    <row r="47" spans="1:21" x14ac:dyDescent="0.2">
      <c r="A47" s="111" t="s">
        <v>83</v>
      </c>
      <c r="B47" s="108"/>
      <c r="C47" s="110"/>
      <c r="D47" s="108"/>
      <c r="E47" s="155"/>
      <c r="F47" s="174"/>
      <c r="G47" s="210"/>
      <c r="H47" s="32"/>
      <c r="I47" s="31" t="s">
        <v>55</v>
      </c>
      <c r="J47" s="31" t="s">
        <v>27</v>
      </c>
      <c r="K47" s="57">
        <f>SUM(J41:J45)</f>
        <v>372</v>
      </c>
      <c r="L47" s="31"/>
      <c r="M47" s="31"/>
      <c r="N47" s="31"/>
      <c r="O47" s="31"/>
      <c r="P47" s="31"/>
      <c r="Q47" s="31"/>
      <c r="R47" s="31"/>
      <c r="S47" s="31"/>
      <c r="T47" s="31"/>
      <c r="U47" s="32"/>
    </row>
    <row r="48" spans="1:21" ht="15.75" x14ac:dyDescent="0.25">
      <c r="A48" s="112" t="s">
        <v>86</v>
      </c>
      <c r="B48" s="108"/>
      <c r="C48" s="113"/>
      <c r="D48" s="113"/>
      <c r="E48" s="160">
        <f>(E75)+2*(E35*E41/2)</f>
        <v>21.725392838076743</v>
      </c>
      <c r="F48" s="174"/>
      <c r="G48" s="197"/>
      <c r="H48" s="32"/>
      <c r="I48" s="31"/>
      <c r="J48" s="31"/>
      <c r="K48" s="57"/>
      <c r="L48" s="31"/>
      <c r="M48" s="31"/>
      <c r="N48" s="31"/>
      <c r="O48" s="31"/>
      <c r="P48" s="31"/>
      <c r="Q48" s="31"/>
      <c r="R48" s="31"/>
      <c r="S48" s="31"/>
      <c r="T48" s="31"/>
      <c r="U48" s="32"/>
    </row>
    <row r="49" spans="1:23" x14ac:dyDescent="0.2">
      <c r="A49" s="108"/>
      <c r="B49" s="108"/>
      <c r="C49" s="110"/>
      <c r="D49" s="110"/>
      <c r="E49" s="161"/>
      <c r="F49" s="174"/>
      <c r="G49" s="197"/>
      <c r="H49" s="32"/>
      <c r="I49" s="31"/>
      <c r="J49" s="31"/>
      <c r="K49" s="57"/>
      <c r="L49" s="31"/>
      <c r="M49" s="31"/>
      <c r="N49" s="31"/>
      <c r="O49" s="31"/>
      <c r="P49" s="31"/>
      <c r="Q49" s="31"/>
      <c r="R49" s="31"/>
      <c r="S49" s="31"/>
      <c r="T49" s="31"/>
      <c r="U49" s="32"/>
    </row>
    <row r="50" spans="1:23" ht="15.75" x14ac:dyDescent="0.25">
      <c r="A50" s="112" t="s">
        <v>87</v>
      </c>
      <c r="B50" s="108"/>
      <c r="C50" s="114"/>
      <c r="D50" s="108"/>
      <c r="E50" s="163">
        <f>IF((E75)-2*(E35*E41/2) &gt;=0,E75-2*(E35*E41/2), "Select a Shorter Pile Height-cell E41")</f>
        <v>3.4253928380767444</v>
      </c>
      <c r="F50" s="174"/>
      <c r="G50" s="197"/>
      <c r="H50" s="32"/>
      <c r="I50" s="31"/>
      <c r="J50" s="121"/>
      <c r="K50" s="31"/>
      <c r="L50" s="31"/>
      <c r="M50" s="122" t="s">
        <v>94</v>
      </c>
      <c r="N50" s="31"/>
      <c r="O50" s="121"/>
      <c r="P50" s="31"/>
      <c r="Q50" s="78">
        <f>SUM(Q20:Q45)</f>
        <v>2837.2</v>
      </c>
      <c r="R50" s="78">
        <f>SUM(R20:R45)</f>
        <v>1363.2</v>
      </c>
      <c r="S50" s="78">
        <f>SUM(S20:S45)</f>
        <v>371.2</v>
      </c>
      <c r="T50" s="78">
        <f>SUM(T20:T45)</f>
        <v>3117.5999999999995</v>
      </c>
      <c r="U50" s="32"/>
    </row>
    <row r="51" spans="1:23" ht="15.75" x14ac:dyDescent="0.25">
      <c r="A51" s="108"/>
      <c r="B51" s="108"/>
      <c r="C51" s="110"/>
      <c r="D51" s="108"/>
      <c r="E51" s="155"/>
      <c r="F51" s="201"/>
      <c r="G51" s="174"/>
    </row>
    <row r="52" spans="1:23" ht="18" x14ac:dyDescent="0.25">
      <c r="A52" s="112" t="s">
        <v>88</v>
      </c>
      <c r="B52" s="108"/>
      <c r="C52" s="115"/>
      <c r="D52" s="123"/>
      <c r="E52" s="166">
        <f>(E33*(E31))+2*(E38*E41/2)</f>
        <v>118.94999999999999</v>
      </c>
      <c r="F52" s="202"/>
      <c r="G52" s="174"/>
      <c r="L52" s="27" t="str">
        <f>IF(E52 &gt; 60,"There are benefits to having multiple piles when bottom length exceeds 60 meters.",  " ")</f>
        <v>There are benefits to having multiple piles when bottom length exceeds 60 meters.</v>
      </c>
      <c r="T52" s="32"/>
      <c r="U52" s="32"/>
      <c r="V52" s="32"/>
      <c r="W52" s="32"/>
    </row>
    <row r="53" spans="1:23" ht="18" x14ac:dyDescent="0.25">
      <c r="A53" s="108"/>
      <c r="B53" s="108"/>
      <c r="C53" s="116"/>
      <c r="D53" s="108"/>
      <c r="E53" s="161"/>
      <c r="F53" s="174"/>
      <c r="G53" s="174"/>
      <c r="L53" s="27" t="str">
        <f>IF(E52&gt;60, "Consider dividing the Number of days feeding (Cell E33) by 2 or 3 and use that many piles", " ")</f>
        <v>Consider dividing the Number of days feeding (Cell E33) by 2 or 3 and use that many piles</v>
      </c>
      <c r="T53" s="32"/>
      <c r="U53" s="32"/>
      <c r="V53" s="32"/>
      <c r="W53" s="32"/>
    </row>
    <row r="54" spans="1:23" ht="15.75" x14ac:dyDescent="0.25">
      <c r="A54" s="112" t="s">
        <v>89</v>
      </c>
      <c r="B54" s="108"/>
      <c r="C54" s="117"/>
      <c r="D54" s="108"/>
      <c r="E54" s="168">
        <f>IF((E76)-2*(E38*E41/2) &gt;=0,E76-2*(E38*E41/2), "Select a Shorter Pile Height-cell E41")</f>
        <v>100.65</v>
      </c>
      <c r="F54" s="179"/>
      <c r="G54" s="174"/>
      <c r="T54" s="32"/>
      <c r="U54" s="32"/>
      <c r="V54" s="32"/>
      <c r="W54" s="32"/>
    </row>
    <row r="55" spans="1:23" x14ac:dyDescent="0.2">
      <c r="A55" s="108"/>
      <c r="B55" s="108"/>
      <c r="C55" s="110"/>
      <c r="D55" s="108"/>
      <c r="E55" s="155"/>
      <c r="F55" s="174"/>
      <c r="G55" s="174"/>
      <c r="T55" s="32"/>
      <c r="U55" s="32"/>
      <c r="V55" s="32"/>
      <c r="W55" s="32"/>
    </row>
    <row r="56" spans="1:23" ht="15.75" x14ac:dyDescent="0.25">
      <c r="A56" s="112" t="s">
        <v>99</v>
      </c>
      <c r="B56" s="108"/>
      <c r="C56" s="110"/>
      <c r="D56" s="110"/>
      <c r="E56" s="169">
        <f>E18*E33/1000</f>
        <v>979.77599999999995</v>
      </c>
      <c r="F56" s="174"/>
      <c r="G56" s="174"/>
    </row>
    <row r="57" spans="1:23" ht="15.75" x14ac:dyDescent="0.25">
      <c r="A57" s="112"/>
      <c r="B57" s="108"/>
      <c r="C57" s="110"/>
      <c r="D57" s="110"/>
      <c r="E57" s="170"/>
      <c r="F57" s="174"/>
      <c r="G57" s="174"/>
    </row>
    <row r="58" spans="1:23" ht="15.75" x14ac:dyDescent="0.25">
      <c r="A58" s="112" t="s">
        <v>100</v>
      </c>
      <c r="B58" s="108"/>
      <c r="C58" s="110"/>
      <c r="D58" s="110"/>
      <c r="E58" s="169">
        <f>E56/(1-E29/100)</f>
        <v>2969.0181818181823</v>
      </c>
      <c r="F58" s="174"/>
      <c r="G58" s="87"/>
      <c r="H58" s="32"/>
    </row>
    <row r="59" spans="1:23" ht="15.75" x14ac:dyDescent="0.25">
      <c r="A59" s="112"/>
      <c r="B59" s="108"/>
      <c r="C59" s="110"/>
      <c r="D59" s="110"/>
      <c r="E59" s="170"/>
      <c r="F59" s="174"/>
      <c r="G59" s="173"/>
    </row>
    <row r="60" spans="1:23" ht="15.75" x14ac:dyDescent="0.25">
      <c r="A60" s="112" t="s">
        <v>101</v>
      </c>
      <c r="B60" s="108"/>
      <c r="C60" s="110"/>
      <c r="D60" s="110"/>
      <c r="E60" s="169">
        <f>E56/(1-((E21+E24)/100))</f>
        <v>1152.6776470588236</v>
      </c>
      <c r="F60" s="174"/>
      <c r="G60" s="174"/>
    </row>
    <row r="61" spans="1:23" ht="15.75" x14ac:dyDescent="0.25">
      <c r="A61" s="112"/>
      <c r="B61" s="108"/>
      <c r="C61" s="118"/>
      <c r="D61" s="110"/>
      <c r="E61" s="170"/>
      <c r="F61" s="174"/>
      <c r="G61" s="174"/>
    </row>
    <row r="62" spans="1:23" ht="15.75" x14ac:dyDescent="0.25">
      <c r="A62" s="112" t="s">
        <v>102</v>
      </c>
      <c r="B62" s="108"/>
      <c r="C62" s="110"/>
      <c r="D62" s="110"/>
      <c r="E62" s="169">
        <f>E58/(1-((E21+E24)/100))</f>
        <v>3492.9625668449203</v>
      </c>
      <c r="F62" s="174"/>
      <c r="G62" s="174"/>
    </row>
    <row r="63" spans="1:23" x14ac:dyDescent="0.2">
      <c r="A63" s="108"/>
      <c r="B63" s="108"/>
      <c r="C63" s="110"/>
      <c r="D63" s="108"/>
      <c r="E63" s="155"/>
      <c r="F63" s="174"/>
      <c r="G63" s="83"/>
      <c r="H63" s="83"/>
      <c r="I63" s="81"/>
      <c r="J63" s="32"/>
      <c r="K63" s="32"/>
      <c r="L63" s="32"/>
      <c r="M63" s="87"/>
      <c r="N63" s="32"/>
      <c r="O63" s="32"/>
      <c r="P63" s="32"/>
    </row>
    <row r="64" spans="1:23" ht="15" x14ac:dyDescent="0.2">
      <c r="A64" s="119" t="s">
        <v>81</v>
      </c>
      <c r="B64" s="108"/>
      <c r="C64" s="110"/>
      <c r="D64" s="108"/>
      <c r="E64" s="155"/>
      <c r="F64" s="174"/>
      <c r="G64" s="83"/>
      <c r="H64" s="83"/>
      <c r="I64" s="81"/>
      <c r="J64" s="32"/>
      <c r="K64" s="32"/>
      <c r="L64" s="32"/>
      <c r="M64" s="87"/>
      <c r="N64" s="32"/>
      <c r="O64" s="32"/>
      <c r="P64" s="32"/>
    </row>
    <row r="65" spans="1:19" ht="15.75" x14ac:dyDescent="0.25">
      <c r="A65" t="s">
        <v>2</v>
      </c>
      <c r="C65" s="1"/>
      <c r="E65" s="174"/>
      <c r="F65" s="174"/>
      <c r="G65" s="83"/>
      <c r="H65" s="83"/>
      <c r="I65" s="81"/>
      <c r="J65" s="32"/>
      <c r="K65" s="32"/>
      <c r="L65" s="92">
        <f>E50</f>
        <v>3.4253928380767444</v>
      </c>
      <c r="M65" s="92" t="s">
        <v>16</v>
      </c>
      <c r="N65" s="143"/>
      <c r="O65" s="32"/>
      <c r="P65" s="32"/>
      <c r="S65" s="32"/>
    </row>
    <row r="66" spans="1:19" x14ac:dyDescent="0.2">
      <c r="A66" t="s">
        <v>1</v>
      </c>
      <c r="C66" s="1"/>
      <c r="E66" s="174"/>
      <c r="F66" s="174"/>
      <c r="G66" s="22"/>
      <c r="H66" t="s">
        <v>0</v>
      </c>
      <c r="S66" s="32"/>
    </row>
    <row r="67" spans="1:19" x14ac:dyDescent="0.2">
      <c r="C67" s="1"/>
      <c r="E67" s="174"/>
      <c r="F67" s="174"/>
      <c r="G67" s="22"/>
      <c r="S67" s="32"/>
    </row>
    <row r="68" spans="1:19" x14ac:dyDescent="0.2">
      <c r="C68" s="1"/>
      <c r="E68" s="174"/>
      <c r="F68" s="174"/>
      <c r="G68" s="22"/>
    </row>
    <row r="69" spans="1:19" ht="15.75" x14ac:dyDescent="0.25">
      <c r="C69" s="1"/>
      <c r="D69" s="15"/>
      <c r="E69" s="174"/>
      <c r="F69" s="174"/>
      <c r="G69" s="22"/>
      <c r="O69" s="13">
        <f>E35</f>
        <v>3</v>
      </c>
      <c r="P69" s="106"/>
    </row>
    <row r="70" spans="1:19" x14ac:dyDescent="0.2">
      <c r="C70" s="7"/>
      <c r="D70" s="1"/>
      <c r="E70" s="22"/>
      <c r="F70" s="174"/>
      <c r="G70" s="22"/>
    </row>
    <row r="71" spans="1:19" x14ac:dyDescent="0.2">
      <c r="A71" s="26"/>
      <c r="B71" s="26"/>
      <c r="C71" s="88"/>
      <c r="D71" s="32"/>
      <c r="E71" s="178"/>
      <c r="F71" s="174"/>
      <c r="G71" s="22"/>
    </row>
    <row r="72" spans="1:19" x14ac:dyDescent="0.2">
      <c r="A72" s="5" t="s">
        <v>255</v>
      </c>
      <c r="C72" s="21"/>
      <c r="D72" s="21"/>
      <c r="E72" s="180">
        <f>E27*(100-E29)/100</f>
        <v>232.65</v>
      </c>
      <c r="F72" s="174"/>
      <c r="G72" s="22"/>
    </row>
    <row r="73" spans="1:19" ht="15.75" x14ac:dyDescent="0.25">
      <c r="A73" s="5" t="s">
        <v>90</v>
      </c>
      <c r="C73" s="7"/>
      <c r="D73" s="7"/>
      <c r="E73" s="180">
        <f>E18/E72</f>
        <v>11.69825918762089</v>
      </c>
      <c r="F73" s="174"/>
      <c r="G73" s="211"/>
      <c r="H73" s="86"/>
    </row>
    <row r="74" spans="1:19" ht="15.75" x14ac:dyDescent="0.25">
      <c r="A74" t="s">
        <v>91</v>
      </c>
      <c r="C74" s="7"/>
      <c r="D74" s="7"/>
      <c r="E74" s="180">
        <f>E73/(E31)</f>
        <v>38.354948156134064</v>
      </c>
      <c r="F74" s="174"/>
      <c r="G74" s="212">
        <f>E41</f>
        <v>3.05</v>
      </c>
      <c r="H74" s="91" t="s">
        <v>103</v>
      </c>
      <c r="I74" s="125"/>
      <c r="J74" s="86"/>
    </row>
    <row r="75" spans="1:19" ht="15.75" x14ac:dyDescent="0.25">
      <c r="A75" s="5" t="s">
        <v>92</v>
      </c>
      <c r="C75" s="7"/>
      <c r="D75" s="7"/>
      <c r="E75" s="180">
        <f>E74/E41</f>
        <v>12.575392838076743</v>
      </c>
      <c r="F75" s="174"/>
      <c r="G75" s="22"/>
      <c r="H75" s="92">
        <f>G74/2</f>
        <v>1.5249999999999999</v>
      </c>
      <c r="I75" s="91" t="s">
        <v>104</v>
      </c>
    </row>
    <row r="76" spans="1:19" x14ac:dyDescent="0.2">
      <c r="A76" s="5" t="s">
        <v>93</v>
      </c>
      <c r="B76" s="5"/>
      <c r="C76" s="89"/>
      <c r="E76" s="182">
        <f>E33*(E31)</f>
        <v>109.8</v>
      </c>
      <c r="F76" s="174"/>
      <c r="G76" s="22"/>
    </row>
    <row r="77" spans="1:19" x14ac:dyDescent="0.2">
      <c r="C77" s="1"/>
      <c r="E77" s="174"/>
      <c r="F77" s="174"/>
      <c r="G77" s="213"/>
    </row>
    <row r="78" spans="1:19" x14ac:dyDescent="0.2">
      <c r="C78" s="7"/>
      <c r="D78" s="1"/>
      <c r="E78" s="174"/>
      <c r="F78" s="174"/>
      <c r="G78" s="213"/>
    </row>
    <row r="79" spans="1:19" x14ac:dyDescent="0.2">
      <c r="C79" s="1"/>
      <c r="E79" s="174"/>
      <c r="F79" s="174"/>
      <c r="G79" s="22"/>
    </row>
    <row r="80" spans="1:19" x14ac:dyDescent="0.2">
      <c r="C80" s="1"/>
      <c r="E80" s="174"/>
      <c r="F80" s="174"/>
      <c r="G80" s="22"/>
    </row>
    <row r="81" spans="3:14" x14ac:dyDescent="0.2">
      <c r="C81" s="1"/>
      <c r="E81" s="174"/>
      <c r="F81" s="174"/>
      <c r="G81" s="22"/>
    </row>
    <row r="82" spans="3:14" x14ac:dyDescent="0.2">
      <c r="C82" s="1"/>
      <c r="E82" s="174"/>
      <c r="F82" s="174"/>
      <c r="G82" s="22"/>
    </row>
    <row r="83" spans="3:14" ht="15.75" x14ac:dyDescent="0.25">
      <c r="C83" s="1"/>
      <c r="E83" s="174"/>
      <c r="F83" s="174"/>
      <c r="G83" s="22"/>
      <c r="M83" s="13">
        <f>E48</f>
        <v>21.725392838076743</v>
      </c>
      <c r="N83" s="91" t="s">
        <v>16</v>
      </c>
    </row>
    <row r="84" spans="3:14" x14ac:dyDescent="0.2">
      <c r="C84" s="1"/>
      <c r="G84" s="1"/>
    </row>
    <row r="85" spans="3:14" x14ac:dyDescent="0.2">
      <c r="C85" s="1"/>
    </row>
    <row r="86" spans="3:14" x14ac:dyDescent="0.2">
      <c r="C86" s="1"/>
    </row>
    <row r="87" spans="3:14" x14ac:dyDescent="0.2">
      <c r="C87" s="1"/>
    </row>
    <row r="88" spans="3:14" x14ac:dyDescent="0.2">
      <c r="C88" s="1"/>
      <c r="H88" s="1"/>
    </row>
    <row r="89" spans="3:14" x14ac:dyDescent="0.2">
      <c r="C89" s="1"/>
    </row>
    <row r="90" spans="3:14" x14ac:dyDescent="0.2">
      <c r="C90" s="1"/>
    </row>
    <row r="91" spans="3:14" x14ac:dyDescent="0.2">
      <c r="C91" s="1"/>
    </row>
    <row r="92" spans="3:14" x14ac:dyDescent="0.2">
      <c r="C92" s="1"/>
    </row>
    <row r="93" spans="3:14" x14ac:dyDescent="0.2">
      <c r="C93" s="1"/>
    </row>
    <row r="94" spans="3:14" x14ac:dyDescent="0.2">
      <c r="C94" s="1"/>
    </row>
    <row r="95" spans="3:14" x14ac:dyDescent="0.2">
      <c r="C95" s="1"/>
    </row>
    <row r="96" spans="3:14" x14ac:dyDescent="0.2">
      <c r="C96" s="1"/>
    </row>
    <row r="97" spans="3:9" x14ac:dyDescent="0.2">
      <c r="C97" s="1"/>
    </row>
    <row r="98" spans="3:9" x14ac:dyDescent="0.2">
      <c r="C98" s="1"/>
    </row>
    <row r="99" spans="3:9" x14ac:dyDescent="0.2">
      <c r="C99" s="1"/>
    </row>
    <row r="100" spans="3:9" x14ac:dyDescent="0.2">
      <c r="C100" s="1"/>
    </row>
    <row r="101" spans="3:9" x14ac:dyDescent="0.2">
      <c r="C101" s="1"/>
    </row>
    <row r="102" spans="3:9" x14ac:dyDescent="0.2">
      <c r="C102" s="1"/>
    </row>
    <row r="103" spans="3:9" x14ac:dyDescent="0.2">
      <c r="C103" s="1"/>
    </row>
    <row r="104" spans="3:9" x14ac:dyDescent="0.2">
      <c r="C104" s="1"/>
    </row>
    <row r="105" spans="3:9" x14ac:dyDescent="0.2">
      <c r="C105" s="1"/>
    </row>
    <row r="106" spans="3:9" x14ac:dyDescent="0.2">
      <c r="C106" s="1"/>
    </row>
    <row r="107" spans="3:9" x14ac:dyDescent="0.2">
      <c r="C107" s="1"/>
    </row>
    <row r="108" spans="3:9" x14ac:dyDescent="0.2">
      <c r="C108" s="1"/>
    </row>
    <row r="109" spans="3:9" x14ac:dyDescent="0.2">
      <c r="C109" s="1"/>
      <c r="I109" s="1" t="s">
        <v>0</v>
      </c>
    </row>
    <row r="110" spans="3:9" x14ac:dyDescent="0.2">
      <c r="C110" s="1"/>
    </row>
    <row r="111" spans="3:9" x14ac:dyDescent="0.2">
      <c r="C111" s="1"/>
    </row>
    <row r="112" spans="3:9" x14ac:dyDescent="0.2">
      <c r="C112" s="1"/>
    </row>
    <row r="113" spans="3:3" x14ac:dyDescent="0.2">
      <c r="C113" s="1"/>
    </row>
    <row r="114" spans="3:3" x14ac:dyDescent="0.2">
      <c r="C114" s="1"/>
    </row>
    <row r="115" spans="3:3" x14ac:dyDescent="0.2">
      <c r="C115" s="1"/>
    </row>
    <row r="116" spans="3:3" x14ac:dyDescent="0.2">
      <c r="C116" s="1"/>
    </row>
    <row r="117" spans="3:3" x14ac:dyDescent="0.2">
      <c r="C117" s="1"/>
    </row>
    <row r="118" spans="3:3" x14ac:dyDescent="0.2">
      <c r="C118" s="1"/>
    </row>
    <row r="119" spans="3:3" x14ac:dyDescent="0.2">
      <c r="C119" s="1"/>
    </row>
    <row r="120" spans="3:3" x14ac:dyDescent="0.2">
      <c r="C120" s="1"/>
    </row>
    <row r="121" spans="3:3" x14ac:dyDescent="0.2">
      <c r="C121" s="1"/>
    </row>
    <row r="122" spans="3:3" x14ac:dyDescent="0.2">
      <c r="C122" s="1"/>
    </row>
    <row r="123" spans="3:3" x14ac:dyDescent="0.2">
      <c r="C123" s="1"/>
    </row>
    <row r="124" spans="3:3" x14ac:dyDescent="0.2">
      <c r="C124" s="1"/>
    </row>
    <row r="125" spans="3:3" x14ac:dyDescent="0.2">
      <c r="C125" s="1"/>
    </row>
    <row r="126" spans="3:3" x14ac:dyDescent="0.2">
      <c r="C126" s="1"/>
    </row>
    <row r="127" spans="3:3" x14ac:dyDescent="0.2">
      <c r="C127" s="1"/>
    </row>
    <row r="128" spans="3:3" x14ac:dyDescent="0.2">
      <c r="C128" s="1"/>
    </row>
    <row r="129" spans="3:3" x14ac:dyDescent="0.2">
      <c r="C129" s="1"/>
    </row>
    <row r="130" spans="3:3" x14ac:dyDescent="0.2">
      <c r="C130" s="1"/>
    </row>
    <row r="131" spans="3:3" x14ac:dyDescent="0.2">
      <c r="C131" s="1"/>
    </row>
    <row r="132" spans="3:3" x14ac:dyDescent="0.2">
      <c r="C132" s="1"/>
    </row>
    <row r="133" spans="3:3" x14ac:dyDescent="0.2">
      <c r="C133" s="1"/>
    </row>
    <row r="134" spans="3:3" x14ac:dyDescent="0.2">
      <c r="C134" s="1"/>
    </row>
    <row r="135" spans="3:3" x14ac:dyDescent="0.2">
      <c r="C135" s="1"/>
    </row>
    <row r="136" spans="3:3" x14ac:dyDescent="0.2">
      <c r="C136" s="1"/>
    </row>
    <row r="137" spans="3:3" x14ac:dyDescent="0.2">
      <c r="C137" s="1"/>
    </row>
    <row r="138" spans="3:3" x14ac:dyDescent="0.2">
      <c r="C138" s="1"/>
    </row>
    <row r="139" spans="3:3" x14ac:dyDescent="0.2">
      <c r="C139" s="1"/>
    </row>
    <row r="140" spans="3:3" x14ac:dyDescent="0.2">
      <c r="C140" s="1"/>
    </row>
    <row r="141" spans="3:3" x14ac:dyDescent="0.2">
      <c r="C141" s="1"/>
    </row>
    <row r="142" spans="3:3" x14ac:dyDescent="0.2">
      <c r="C142" s="1"/>
    </row>
    <row r="143" spans="3:3" x14ac:dyDescent="0.2">
      <c r="C143" s="1"/>
    </row>
    <row r="144" spans="3:3" x14ac:dyDescent="0.2">
      <c r="C144" s="1"/>
    </row>
    <row r="145" spans="3:3" x14ac:dyDescent="0.2">
      <c r="C145" s="1"/>
    </row>
    <row r="146" spans="3:3" x14ac:dyDescent="0.2">
      <c r="C146" s="1"/>
    </row>
    <row r="147" spans="3:3" x14ac:dyDescent="0.2">
      <c r="C147" s="1"/>
    </row>
    <row r="148" spans="3:3" x14ac:dyDescent="0.2">
      <c r="C148" s="1"/>
    </row>
    <row r="149" spans="3:3" x14ac:dyDescent="0.2">
      <c r="C149" s="1"/>
    </row>
    <row r="150" spans="3:3" x14ac:dyDescent="0.2">
      <c r="C150" s="1"/>
    </row>
    <row r="151" spans="3:3" x14ac:dyDescent="0.2">
      <c r="C151" s="1"/>
    </row>
    <row r="152" spans="3:3" x14ac:dyDescent="0.2">
      <c r="C152" s="1"/>
    </row>
    <row r="153" spans="3:3" x14ac:dyDescent="0.2">
      <c r="C153" s="1"/>
    </row>
    <row r="154" spans="3:3" x14ac:dyDescent="0.2">
      <c r="C154" s="1"/>
    </row>
    <row r="155" spans="3:3" x14ac:dyDescent="0.2">
      <c r="C155" s="1"/>
    </row>
    <row r="156" spans="3:3" x14ac:dyDescent="0.2">
      <c r="C156" s="1"/>
    </row>
    <row r="157" spans="3:3" x14ac:dyDescent="0.2">
      <c r="C157" s="1"/>
    </row>
    <row r="158" spans="3:3" x14ac:dyDescent="0.2">
      <c r="C158" s="1"/>
    </row>
    <row r="159" spans="3:3" x14ac:dyDescent="0.2">
      <c r="C159" s="1"/>
    </row>
    <row r="160" spans="3:3" x14ac:dyDescent="0.2">
      <c r="C160" s="1"/>
    </row>
    <row r="161" spans="3:3" x14ac:dyDescent="0.2">
      <c r="C161" s="1"/>
    </row>
    <row r="162" spans="3:3" x14ac:dyDescent="0.2">
      <c r="C162" s="1"/>
    </row>
    <row r="163" spans="3:3" x14ac:dyDescent="0.2">
      <c r="C163" s="1"/>
    </row>
    <row r="164" spans="3:3" x14ac:dyDescent="0.2">
      <c r="C164" s="1"/>
    </row>
    <row r="165" spans="3:3" x14ac:dyDescent="0.2">
      <c r="C165" s="1"/>
    </row>
    <row r="166" spans="3:3" x14ac:dyDescent="0.2">
      <c r="C166" s="1"/>
    </row>
    <row r="167" spans="3:3" x14ac:dyDescent="0.2">
      <c r="C167" s="1"/>
    </row>
    <row r="168" spans="3:3" x14ac:dyDescent="0.2">
      <c r="C168" s="1"/>
    </row>
  </sheetData>
  <sheetProtection sheet="1" objects="1" scenarios="1"/>
  <phoneticPr fontId="0" type="noConversion"/>
  <dataValidations count="1">
    <dataValidation type="list" allowBlank="1" showInputMessage="1" showErrorMessage="1" sqref="E16">
      <formula1>"Hay 1 Silage, Hay 2 Silage, Hay 3 Silage, Corn Silage, My Silage"</formula1>
    </dataValidation>
  </dataValidation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B158"/>
  <sheetViews>
    <sheetView zoomScale="80" zoomScaleNormal="80" workbookViewId="0">
      <selection activeCell="W50" sqref="W50"/>
    </sheetView>
  </sheetViews>
  <sheetFormatPr defaultRowHeight="12.75" x14ac:dyDescent="0.2"/>
  <cols>
    <col min="1" max="1" width="60" customWidth="1"/>
    <col min="4" max="4" width="5" customWidth="1"/>
    <col min="5" max="5" width="28.5703125" customWidth="1"/>
    <col min="6" max="6" width="15.42578125" customWidth="1"/>
    <col min="8" max="8" width="19.28515625" customWidth="1"/>
    <col min="9" max="9" width="19.7109375" customWidth="1"/>
    <col min="12" max="12" width="11.140625" customWidth="1"/>
    <col min="13" max="13" width="11" customWidth="1"/>
    <col min="14" max="14" width="13.85546875" customWidth="1"/>
    <col min="15" max="15" width="12.7109375" customWidth="1"/>
    <col min="17" max="17" width="12.85546875" customWidth="1"/>
    <col min="18" max="18" width="11.42578125" customWidth="1"/>
    <col min="19" max="19" width="11.5703125" customWidth="1"/>
    <col min="25" max="25" width="18.42578125" customWidth="1"/>
    <col min="26" max="27" width="18.28515625" customWidth="1"/>
    <col min="28" max="28" width="13.42578125" customWidth="1"/>
  </cols>
  <sheetData>
    <row r="1" spans="1:28" ht="20.25" x14ac:dyDescent="0.3">
      <c r="A1" s="18" t="s">
        <v>267</v>
      </c>
      <c r="B1" s="144" t="s">
        <v>260</v>
      </c>
      <c r="C1" s="17"/>
      <c r="D1" s="16"/>
      <c r="E1" s="16"/>
      <c r="F1" s="16"/>
      <c r="G1" s="16"/>
      <c r="H1" s="16"/>
      <c r="I1" s="108"/>
      <c r="J1" s="108"/>
    </row>
    <row r="2" spans="1:28" x14ac:dyDescent="0.2">
      <c r="A2" s="2"/>
      <c r="B2" s="144" t="s">
        <v>263</v>
      </c>
      <c r="C2" s="107"/>
      <c r="D2" s="107"/>
      <c r="E2" s="16"/>
      <c r="F2" s="16"/>
      <c r="G2" s="16"/>
      <c r="H2" s="16"/>
      <c r="I2" s="16"/>
      <c r="J2" s="108"/>
    </row>
    <row r="3" spans="1:28" x14ac:dyDescent="0.2">
      <c r="A3" s="2" t="s">
        <v>189</v>
      </c>
      <c r="B3" s="144" t="s">
        <v>261</v>
      </c>
      <c r="C3" s="107"/>
      <c r="D3" s="107"/>
      <c r="E3" s="16"/>
      <c r="F3" s="16"/>
      <c r="G3" s="16"/>
      <c r="H3" s="16"/>
      <c r="I3" s="16"/>
      <c r="J3" s="108"/>
    </row>
    <row r="4" spans="1:28" x14ac:dyDescent="0.2">
      <c r="A4" s="2" t="s">
        <v>230</v>
      </c>
      <c r="B4" s="144" t="s">
        <v>229</v>
      </c>
      <c r="C4" s="17"/>
      <c r="D4" s="16"/>
      <c r="E4" s="16"/>
      <c r="F4" s="16"/>
      <c r="G4" s="16"/>
      <c r="H4" s="16"/>
      <c r="I4" s="16"/>
      <c r="J4" s="108"/>
    </row>
    <row r="5" spans="1:28" x14ac:dyDescent="0.2">
      <c r="A5" s="8" t="s">
        <v>190</v>
      </c>
      <c r="B5" s="144" t="s">
        <v>262</v>
      </c>
      <c r="C5" s="17"/>
      <c r="D5" s="16"/>
      <c r="E5" s="16"/>
      <c r="F5" s="16"/>
      <c r="G5" s="16"/>
      <c r="H5" s="16"/>
      <c r="I5" s="16"/>
      <c r="J5" s="108"/>
    </row>
    <row r="6" spans="1:28" x14ac:dyDescent="0.2">
      <c r="A6" s="141" t="s">
        <v>231</v>
      </c>
      <c r="B6" s="107" t="s">
        <v>232</v>
      </c>
      <c r="C6" s="17"/>
      <c r="D6" s="16"/>
      <c r="E6" s="16"/>
      <c r="F6" s="16"/>
      <c r="G6" s="16"/>
      <c r="H6" s="16"/>
      <c r="I6" s="16"/>
      <c r="J6" s="108"/>
    </row>
    <row r="7" spans="1:28" x14ac:dyDescent="0.2">
      <c r="A7" s="147" t="s">
        <v>191</v>
      </c>
      <c r="B7" s="148"/>
      <c r="C7" s="149"/>
      <c r="D7" s="149"/>
      <c r="E7" s="149"/>
      <c r="F7" s="149"/>
      <c r="G7" s="149"/>
      <c r="H7" s="150"/>
      <c r="I7" s="32"/>
    </row>
    <row r="8" spans="1:28" x14ac:dyDescent="0.2">
      <c r="A8" s="147" t="s">
        <v>192</v>
      </c>
      <c r="B8" s="151"/>
      <c r="C8" s="152"/>
      <c r="D8" s="152"/>
      <c r="E8" s="152"/>
      <c r="F8" s="152"/>
      <c r="G8" s="152"/>
      <c r="H8" s="153"/>
      <c r="I8" s="32"/>
    </row>
    <row r="9" spans="1:28" x14ac:dyDescent="0.2">
      <c r="A9" s="2"/>
      <c r="B9" s="6"/>
      <c r="C9" s="3"/>
      <c r="D9" s="3"/>
    </row>
    <row r="10" spans="1:28" x14ac:dyDescent="0.2">
      <c r="A10" s="19" t="s">
        <v>252</v>
      </c>
      <c r="B10" s="184" t="s">
        <v>252</v>
      </c>
      <c r="C10" s="185" t="s">
        <v>14</v>
      </c>
      <c r="D10" s="185" t="s">
        <v>280</v>
      </c>
      <c r="E10" s="204"/>
      <c r="F10" s="174"/>
      <c r="G10" s="174"/>
    </row>
    <row r="11" spans="1:28" x14ac:dyDescent="0.2">
      <c r="B11" s="29"/>
      <c r="C11" s="146" t="s">
        <v>281</v>
      </c>
      <c r="D11" s="34"/>
      <c r="E11" s="35"/>
      <c r="F11" s="35"/>
      <c r="G11" s="87"/>
      <c r="Y11" s="26"/>
      <c r="Z11" s="26"/>
      <c r="AA11" s="26"/>
      <c r="AB11" s="26"/>
    </row>
    <row r="12" spans="1:28" x14ac:dyDescent="0.2">
      <c r="A12" s="128" t="s">
        <v>193</v>
      </c>
      <c r="B12" s="36"/>
      <c r="C12" s="34"/>
      <c r="D12" s="34"/>
      <c r="E12" s="35"/>
      <c r="F12" s="35"/>
      <c r="G12" s="174"/>
      <c r="I12" s="30" t="s">
        <v>194</v>
      </c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</row>
    <row r="13" spans="1:28" x14ac:dyDescent="0.2">
      <c r="A13" s="37" t="s">
        <v>31</v>
      </c>
      <c r="B13" s="187" t="s">
        <v>31</v>
      </c>
      <c r="C13" s="187" t="s">
        <v>31</v>
      </c>
      <c r="D13" s="187" t="s">
        <v>31</v>
      </c>
      <c r="E13" s="187" t="s">
        <v>31</v>
      </c>
      <c r="F13" s="187" t="s">
        <v>31</v>
      </c>
      <c r="G13" s="174"/>
      <c r="I13" s="33" t="s">
        <v>18</v>
      </c>
      <c r="J13" s="33" t="s">
        <v>18</v>
      </c>
      <c r="K13" s="33" t="s">
        <v>18</v>
      </c>
      <c r="L13" s="33" t="s">
        <v>18</v>
      </c>
      <c r="M13" s="33" t="s">
        <v>18</v>
      </c>
      <c r="N13" s="33" t="s">
        <v>18</v>
      </c>
      <c r="O13" s="33" t="s">
        <v>18</v>
      </c>
      <c r="P13" s="33" t="s">
        <v>18</v>
      </c>
      <c r="Q13" s="33" t="s">
        <v>18</v>
      </c>
      <c r="R13" s="33" t="s">
        <v>18</v>
      </c>
      <c r="S13" s="33" t="s">
        <v>18</v>
      </c>
      <c r="T13" s="33" t="s">
        <v>18</v>
      </c>
      <c r="U13" s="31"/>
      <c r="V13" s="31"/>
      <c r="W13" s="31"/>
      <c r="X13" s="31"/>
    </row>
    <row r="14" spans="1:28" x14ac:dyDescent="0.2">
      <c r="A14" s="42"/>
      <c r="B14" s="36"/>
      <c r="C14" s="34"/>
      <c r="D14" s="43"/>
      <c r="E14" s="205"/>
      <c r="F14" s="44"/>
      <c r="G14" s="174"/>
      <c r="I14" s="31"/>
      <c r="J14" s="31"/>
      <c r="K14" s="31"/>
      <c r="L14" s="31" t="s">
        <v>195</v>
      </c>
      <c r="M14" s="31" t="s">
        <v>195</v>
      </c>
      <c r="N14" s="31" t="s">
        <v>195</v>
      </c>
      <c r="O14" s="31" t="s">
        <v>195</v>
      </c>
      <c r="P14" s="31"/>
      <c r="Q14" s="129" t="s">
        <v>195</v>
      </c>
      <c r="R14" s="129" t="s">
        <v>195</v>
      </c>
      <c r="S14" s="129" t="s">
        <v>195</v>
      </c>
      <c r="T14" s="129" t="s">
        <v>195</v>
      </c>
      <c r="U14" s="129"/>
      <c r="V14" s="129"/>
      <c r="W14" s="31"/>
      <c r="X14" s="31"/>
    </row>
    <row r="15" spans="1:28" x14ac:dyDescent="0.2">
      <c r="A15" s="42"/>
      <c r="B15" s="45"/>
      <c r="C15" s="46"/>
      <c r="D15" s="47"/>
      <c r="E15" s="48"/>
      <c r="F15" s="48"/>
      <c r="G15" s="208"/>
      <c r="I15" s="31"/>
      <c r="J15" s="31" t="s">
        <v>196</v>
      </c>
      <c r="K15" s="31"/>
      <c r="L15" s="31" t="s">
        <v>197</v>
      </c>
      <c r="M15" s="31" t="s">
        <v>198</v>
      </c>
      <c r="N15" s="31" t="s">
        <v>199</v>
      </c>
      <c r="O15" s="31" t="s">
        <v>200</v>
      </c>
      <c r="P15" s="31"/>
      <c r="Q15" s="31" t="s">
        <v>197</v>
      </c>
      <c r="R15" s="31" t="s">
        <v>198</v>
      </c>
      <c r="S15" s="31" t="s">
        <v>199</v>
      </c>
      <c r="T15" s="31" t="s">
        <v>200</v>
      </c>
      <c r="U15" s="31"/>
      <c r="V15" s="31"/>
      <c r="W15" s="31"/>
      <c r="X15" s="31"/>
    </row>
    <row r="16" spans="1:28" x14ac:dyDescent="0.2">
      <c r="A16" s="130" t="s">
        <v>201</v>
      </c>
      <c r="B16" s="36"/>
      <c r="C16" s="34"/>
      <c r="D16" s="34"/>
      <c r="E16" s="50" t="s">
        <v>233</v>
      </c>
      <c r="F16" s="131" t="s">
        <v>202</v>
      </c>
      <c r="I16" s="31"/>
      <c r="J16" s="31" t="s">
        <v>105</v>
      </c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</row>
    <row r="17" spans="1:24" x14ac:dyDescent="0.2">
      <c r="A17" s="42"/>
      <c r="B17" s="36"/>
      <c r="C17" s="34"/>
      <c r="D17" s="34"/>
      <c r="E17" s="200"/>
      <c r="F17" s="131" t="s">
        <v>203</v>
      </c>
      <c r="I17" s="31" t="s">
        <v>106</v>
      </c>
      <c r="J17" s="31" t="s">
        <v>106</v>
      </c>
      <c r="K17" s="31" t="s">
        <v>27</v>
      </c>
      <c r="L17" s="126" t="s">
        <v>204</v>
      </c>
      <c r="M17" s="31"/>
      <c r="N17" s="31"/>
      <c r="O17" s="31"/>
      <c r="P17" s="31"/>
      <c r="Q17" s="126" t="s">
        <v>205</v>
      </c>
      <c r="R17" s="31"/>
      <c r="S17" s="31"/>
      <c r="T17" s="31"/>
      <c r="U17" s="31"/>
      <c r="V17" s="31"/>
      <c r="W17" s="31"/>
      <c r="X17" s="31"/>
    </row>
    <row r="18" spans="1:24" x14ac:dyDescent="0.2">
      <c r="A18" s="93" t="s">
        <v>234</v>
      </c>
      <c r="B18" s="36"/>
      <c r="C18" s="34"/>
      <c r="D18" s="34"/>
      <c r="E18" s="54">
        <f>IF(E16="Silagem Milho",T50,IF(E16="Silagem Forragem 1",Q50, IF(E16="Silagem Forragem 2",R50,IF(E16="Silagem Forragem 3", S50,IF(E16="Minha Silagem",F20)))))</f>
        <v>2721.6</v>
      </c>
      <c r="F18" s="132" t="str">
        <f>IF(E16="Minha Silagem", " ", "Da linha 50 da Tabela")</f>
        <v xml:space="preserve"> </v>
      </c>
      <c r="G18" s="56"/>
      <c r="H18" s="56"/>
      <c r="I18" s="33" t="s">
        <v>18</v>
      </c>
      <c r="J18" s="33" t="s">
        <v>18</v>
      </c>
      <c r="K18" s="33" t="s">
        <v>18</v>
      </c>
      <c r="L18" s="33" t="s">
        <v>18</v>
      </c>
      <c r="M18" s="33" t="s">
        <v>18</v>
      </c>
      <c r="N18" s="33" t="s">
        <v>18</v>
      </c>
      <c r="O18" s="33" t="s">
        <v>18</v>
      </c>
      <c r="P18" s="33" t="s">
        <v>18</v>
      </c>
      <c r="Q18" s="33" t="s">
        <v>18</v>
      </c>
      <c r="R18" s="33" t="s">
        <v>18</v>
      </c>
      <c r="S18" s="33" t="s">
        <v>18</v>
      </c>
      <c r="T18" s="33" t="s">
        <v>18</v>
      </c>
      <c r="U18" s="32"/>
    </row>
    <row r="19" spans="1:24" x14ac:dyDescent="0.2">
      <c r="A19" s="59"/>
      <c r="B19" s="36"/>
      <c r="C19" s="34"/>
      <c r="D19" s="34"/>
      <c r="E19" s="200"/>
      <c r="F19" s="132" t="str">
        <f>IF(E16="Minha Silagem", " ", "de Cálculo de Matéria Seca da Silagem")</f>
        <v xml:space="preserve"> </v>
      </c>
      <c r="G19" s="56"/>
      <c r="H19" s="56"/>
      <c r="I19" s="31" t="s">
        <v>107</v>
      </c>
      <c r="J19" s="31"/>
      <c r="K19" s="31">
        <f>SUM(J20:J23)</f>
        <v>68</v>
      </c>
      <c r="L19" s="31"/>
      <c r="M19" s="31"/>
      <c r="N19" s="31"/>
      <c r="O19" s="31"/>
      <c r="P19" s="31"/>
      <c r="Q19" s="31"/>
      <c r="R19" s="31"/>
      <c r="S19" s="31"/>
      <c r="T19" s="31"/>
      <c r="U19" s="32"/>
    </row>
    <row r="20" spans="1:24" x14ac:dyDescent="0.2">
      <c r="A20" s="133" t="str">
        <f>IF(E16="Minha Silagem", "Minha Silagem, se não da Tabela de Cálculo de Matéria Seca da Silagem (Linha 50)  (Kg MS/Rebanho-Dia)=", "  ")</f>
        <v>Minha Silagem, se não da Tabela de Cálculo de Matéria Seca da Silagem (Linha 50)  (Kg MS/Rebanho-Dia)=</v>
      </c>
      <c r="B20" s="36"/>
      <c r="C20" s="34"/>
      <c r="D20" s="34"/>
      <c r="E20" s="134"/>
      <c r="F20" s="135">
        <v>2721.6</v>
      </c>
      <c r="G20" s="136" t="str">
        <f>IF(E16="Minha Silagem","Minha Silagem","   ")</f>
        <v>Minha Silagem</v>
      </c>
      <c r="I20" s="38" t="s">
        <v>206</v>
      </c>
      <c r="J20" s="39">
        <v>8</v>
      </c>
      <c r="K20" s="53"/>
      <c r="L20" s="39">
        <v>0</v>
      </c>
      <c r="M20" s="39">
        <v>0</v>
      </c>
      <c r="N20" s="39">
        <v>9</v>
      </c>
      <c r="O20" s="39">
        <v>0</v>
      </c>
      <c r="P20" s="31"/>
      <c r="Q20" s="41">
        <f>L20*$J$20</f>
        <v>0</v>
      </c>
      <c r="R20" s="41">
        <f t="shared" ref="R20:T20" si="0">M20*$J$20</f>
        <v>0</v>
      </c>
      <c r="S20" s="41">
        <f t="shared" si="0"/>
        <v>72</v>
      </c>
      <c r="T20" s="41">
        <f t="shared" si="0"/>
        <v>0</v>
      </c>
      <c r="U20" s="32"/>
    </row>
    <row r="21" spans="1:24" x14ac:dyDescent="0.2">
      <c r="A21" s="42" t="s">
        <v>207</v>
      </c>
      <c r="B21" s="36"/>
      <c r="C21" s="34"/>
      <c r="D21" s="34"/>
      <c r="E21" s="62">
        <v>10</v>
      </c>
      <c r="F21" s="35"/>
      <c r="I21" s="38" t="s">
        <v>108</v>
      </c>
      <c r="J21" s="39">
        <v>22</v>
      </c>
      <c r="K21" s="53"/>
      <c r="L21" s="39">
        <v>0</v>
      </c>
      <c r="M21" s="39">
        <v>4.5</v>
      </c>
      <c r="N21" s="39">
        <v>6.8</v>
      </c>
      <c r="O21" s="39">
        <v>0</v>
      </c>
      <c r="P21" s="31"/>
      <c r="Q21" s="41">
        <f>L21*$J$21</f>
        <v>0</v>
      </c>
      <c r="R21" s="41">
        <f t="shared" ref="R21:T21" si="1">M21*$J$21</f>
        <v>99</v>
      </c>
      <c r="S21" s="41">
        <f t="shared" si="1"/>
        <v>149.6</v>
      </c>
      <c r="T21" s="41">
        <f t="shared" si="1"/>
        <v>0</v>
      </c>
      <c r="U21" s="32"/>
    </row>
    <row r="22" spans="1:24" x14ac:dyDescent="0.2">
      <c r="A22" s="85" t="s">
        <v>235</v>
      </c>
      <c r="B22" s="36"/>
      <c r="C22" s="34"/>
      <c r="D22" s="34"/>
      <c r="E22" s="52"/>
      <c r="F22" s="35"/>
      <c r="I22" s="38" t="s">
        <v>109</v>
      </c>
      <c r="J22" s="39">
        <v>22</v>
      </c>
      <c r="K22" s="53"/>
      <c r="L22" s="39">
        <v>0</v>
      </c>
      <c r="M22" s="39">
        <v>4.5</v>
      </c>
      <c r="N22" s="39">
        <v>6.8</v>
      </c>
      <c r="O22" s="39">
        <v>0</v>
      </c>
      <c r="P22" s="31"/>
      <c r="Q22" s="41">
        <f>L22*$J$22</f>
        <v>0</v>
      </c>
      <c r="R22" s="41">
        <f t="shared" ref="R22:T22" si="2">M22*$J$22</f>
        <v>99</v>
      </c>
      <c r="S22" s="41">
        <f t="shared" si="2"/>
        <v>149.6</v>
      </c>
      <c r="T22" s="41">
        <f t="shared" si="2"/>
        <v>0</v>
      </c>
      <c r="U22" s="32"/>
    </row>
    <row r="23" spans="1:24" x14ac:dyDescent="0.2">
      <c r="A23" s="42"/>
      <c r="B23" s="36"/>
      <c r="C23" s="34"/>
      <c r="D23" s="34"/>
      <c r="E23" s="52"/>
      <c r="F23" s="35"/>
      <c r="G23" s="63"/>
      <c r="H23" s="64"/>
      <c r="I23" s="38" t="s">
        <v>208</v>
      </c>
      <c r="J23" s="39">
        <v>16</v>
      </c>
      <c r="K23" s="53"/>
      <c r="L23" s="39">
        <v>0</v>
      </c>
      <c r="M23" s="39">
        <v>9</v>
      </c>
      <c r="N23" s="39">
        <v>0</v>
      </c>
      <c r="O23" s="39">
        <v>1.4</v>
      </c>
      <c r="P23" s="31"/>
      <c r="Q23" s="41">
        <f>L23*$J$23</f>
        <v>0</v>
      </c>
      <c r="R23" s="41">
        <f t="shared" ref="R23:T23" si="3">M23*$J$23</f>
        <v>144</v>
      </c>
      <c r="S23" s="41">
        <f t="shared" si="3"/>
        <v>0</v>
      </c>
      <c r="T23" s="41">
        <f t="shared" si="3"/>
        <v>22.4</v>
      </c>
      <c r="U23" s="32"/>
    </row>
    <row r="24" spans="1:24" x14ac:dyDescent="0.2">
      <c r="A24" s="42" t="s">
        <v>209</v>
      </c>
      <c r="B24" s="36"/>
      <c r="C24" s="34"/>
      <c r="D24" s="34"/>
      <c r="E24" s="62">
        <v>5</v>
      </c>
      <c r="F24" s="35"/>
      <c r="G24" s="63"/>
      <c r="H24" s="64"/>
      <c r="I24" s="31"/>
      <c r="J24" s="53"/>
      <c r="K24" s="40"/>
      <c r="L24" s="53"/>
      <c r="M24" s="53"/>
      <c r="N24" s="53"/>
      <c r="O24" s="53"/>
      <c r="P24" s="31"/>
      <c r="Q24" s="41"/>
      <c r="R24" s="41"/>
      <c r="S24" s="41"/>
      <c r="T24" s="41"/>
      <c r="U24" s="32"/>
    </row>
    <row r="25" spans="1:24" x14ac:dyDescent="0.2">
      <c r="A25" s="85" t="s">
        <v>236</v>
      </c>
      <c r="B25" s="36"/>
      <c r="C25" s="34"/>
      <c r="D25" s="34"/>
      <c r="E25" s="52"/>
      <c r="F25" s="35"/>
      <c r="G25" s="63"/>
      <c r="H25" s="64"/>
      <c r="I25" s="31" t="s">
        <v>210</v>
      </c>
      <c r="J25" s="39">
        <v>20</v>
      </c>
      <c r="K25" s="57">
        <f>J25</f>
        <v>20</v>
      </c>
      <c r="L25" s="39">
        <v>6.8</v>
      </c>
      <c r="M25" s="39">
        <v>4.5</v>
      </c>
      <c r="N25" s="39">
        <v>0</v>
      </c>
      <c r="O25" s="39">
        <v>1.4</v>
      </c>
      <c r="P25" s="31"/>
      <c r="Q25" s="41">
        <f>L25*$J$25</f>
        <v>136</v>
      </c>
      <c r="R25" s="41">
        <f t="shared" ref="R25:T25" si="4">M25*$J$25</f>
        <v>90</v>
      </c>
      <c r="S25" s="41">
        <f t="shared" si="4"/>
        <v>0</v>
      </c>
      <c r="T25" s="41">
        <f t="shared" si="4"/>
        <v>28</v>
      </c>
      <c r="U25" s="32"/>
    </row>
    <row r="26" spans="1:24" x14ac:dyDescent="0.2">
      <c r="A26" s="42"/>
      <c r="B26" s="36"/>
      <c r="C26" s="34"/>
      <c r="D26" s="34"/>
      <c r="E26" s="52"/>
      <c r="F26" s="35"/>
      <c r="G26" s="63"/>
      <c r="H26" s="66"/>
      <c r="I26" s="31"/>
      <c r="J26" s="53"/>
      <c r="K26" s="57"/>
      <c r="L26" s="53"/>
      <c r="M26" s="53"/>
      <c r="N26" s="53"/>
      <c r="O26" s="53"/>
      <c r="P26" s="31"/>
      <c r="Q26" s="41"/>
      <c r="R26" s="41"/>
      <c r="S26" s="41"/>
      <c r="T26" s="41"/>
      <c r="U26" s="32"/>
    </row>
    <row r="27" spans="1:24" x14ac:dyDescent="0.2">
      <c r="A27" s="42" t="s">
        <v>211</v>
      </c>
      <c r="B27" s="36"/>
      <c r="C27" s="34"/>
      <c r="D27" s="34"/>
      <c r="E27" s="62">
        <v>705</v>
      </c>
      <c r="F27" s="35"/>
      <c r="G27" s="63"/>
      <c r="H27" s="67"/>
      <c r="I27" s="31" t="s">
        <v>212</v>
      </c>
      <c r="J27" s="39">
        <v>6</v>
      </c>
      <c r="K27" s="57">
        <f>J27</f>
        <v>6</v>
      </c>
      <c r="L27" s="39">
        <v>4.5</v>
      </c>
      <c r="M27" s="39">
        <v>2.2999999999999998</v>
      </c>
      <c r="N27" s="39">
        <v>0</v>
      </c>
      <c r="O27" s="39">
        <v>4.5</v>
      </c>
      <c r="P27" s="31"/>
      <c r="Q27" s="41">
        <f>L27*$J27</f>
        <v>27</v>
      </c>
      <c r="R27" s="41">
        <f>M27*$J$27</f>
        <v>13.799999999999999</v>
      </c>
      <c r="S27" s="41">
        <f>N27*$J$27</f>
        <v>0</v>
      </c>
      <c r="T27" s="41">
        <f>O27*$J$27</f>
        <v>27</v>
      </c>
      <c r="U27" s="32"/>
    </row>
    <row r="28" spans="1:24" x14ac:dyDescent="0.2">
      <c r="A28" s="59"/>
      <c r="B28" s="36"/>
      <c r="C28" s="34"/>
      <c r="D28" s="34"/>
      <c r="E28" s="52"/>
      <c r="F28" s="35"/>
      <c r="G28" s="68"/>
      <c r="H28" s="67"/>
      <c r="I28" s="31"/>
      <c r="J28" s="53"/>
      <c r="K28" s="57"/>
      <c r="L28" s="53"/>
      <c r="M28" s="53"/>
      <c r="N28" s="53"/>
      <c r="O28" s="53"/>
      <c r="P28" s="31"/>
      <c r="Q28" s="41"/>
      <c r="R28" s="41"/>
      <c r="S28" s="41"/>
      <c r="T28" s="41"/>
      <c r="U28" s="32"/>
    </row>
    <row r="29" spans="1:24" x14ac:dyDescent="0.2">
      <c r="A29" s="93" t="s">
        <v>213</v>
      </c>
      <c r="B29" s="36"/>
      <c r="C29" s="34"/>
      <c r="D29" s="34"/>
      <c r="E29" s="62">
        <v>67</v>
      </c>
      <c r="F29" s="35"/>
      <c r="G29" s="63"/>
      <c r="H29" s="67"/>
      <c r="I29" s="31" t="s">
        <v>214</v>
      </c>
      <c r="J29" s="39">
        <v>110</v>
      </c>
      <c r="K29" s="57">
        <f>J29</f>
        <v>110</v>
      </c>
      <c r="L29" s="39">
        <v>4.5</v>
      </c>
      <c r="M29" s="39">
        <v>0</v>
      </c>
      <c r="N29" s="39">
        <v>0</v>
      </c>
      <c r="O29" s="39">
        <v>6.8</v>
      </c>
      <c r="P29" s="31"/>
      <c r="Q29" s="41">
        <f>L29*$J$29</f>
        <v>495</v>
      </c>
      <c r="R29" s="41">
        <f t="shared" ref="R29:T29" si="5">M29*$J$29</f>
        <v>0</v>
      </c>
      <c r="S29" s="41">
        <f t="shared" si="5"/>
        <v>0</v>
      </c>
      <c r="T29" s="41">
        <f t="shared" si="5"/>
        <v>748</v>
      </c>
      <c r="U29" s="32"/>
    </row>
    <row r="30" spans="1:24" x14ac:dyDescent="0.2">
      <c r="A30" s="59"/>
      <c r="B30" s="36"/>
      <c r="C30" s="34"/>
      <c r="D30" s="34"/>
      <c r="E30" s="52"/>
      <c r="F30" s="35"/>
      <c r="G30" s="70"/>
      <c r="H30" s="71"/>
      <c r="I30" s="31"/>
      <c r="J30" s="65"/>
      <c r="K30" s="57"/>
      <c r="L30" s="65"/>
      <c r="M30" s="65"/>
      <c r="N30" s="65"/>
      <c r="O30" s="65"/>
      <c r="P30" s="31"/>
      <c r="Q30" s="41"/>
      <c r="R30" s="41"/>
      <c r="S30" s="41"/>
      <c r="T30" s="41"/>
      <c r="U30" s="32"/>
    </row>
    <row r="31" spans="1:24" x14ac:dyDescent="0.2">
      <c r="A31" s="93" t="s">
        <v>237</v>
      </c>
      <c r="B31" s="36"/>
      <c r="C31" s="34"/>
      <c r="D31" s="34"/>
      <c r="E31" s="62">
        <v>0.30499999999999999</v>
      </c>
      <c r="F31" s="35"/>
      <c r="G31" s="74"/>
      <c r="H31" s="71"/>
      <c r="I31" s="31" t="s">
        <v>215</v>
      </c>
      <c r="J31" s="65"/>
      <c r="K31" s="57">
        <f>SUM(J32:J34)</f>
        <v>226</v>
      </c>
      <c r="L31" s="65"/>
      <c r="M31" s="65"/>
      <c r="N31" s="65"/>
      <c r="O31" s="65"/>
      <c r="P31" s="31"/>
      <c r="Q31" s="41"/>
      <c r="R31" s="41"/>
      <c r="S31" s="41"/>
      <c r="T31" s="41"/>
      <c r="U31" s="32"/>
    </row>
    <row r="32" spans="1:24" x14ac:dyDescent="0.2">
      <c r="A32" s="93" t="s">
        <v>238</v>
      </c>
      <c r="B32" s="36"/>
      <c r="C32" s="34"/>
      <c r="D32" s="34"/>
      <c r="E32" s="52"/>
      <c r="F32" s="35"/>
      <c r="H32" s="75"/>
      <c r="I32" s="38" t="s">
        <v>216</v>
      </c>
      <c r="J32" s="206">
        <v>90</v>
      </c>
      <c r="K32" s="40"/>
      <c r="L32" s="206">
        <v>4.5</v>
      </c>
      <c r="M32" s="206">
        <v>0</v>
      </c>
      <c r="N32" s="206">
        <v>0</v>
      </c>
      <c r="O32" s="206">
        <v>6.8</v>
      </c>
      <c r="P32" s="31"/>
      <c r="Q32" s="41">
        <f>L32*$J$32</f>
        <v>405</v>
      </c>
      <c r="R32" s="41">
        <f t="shared" ref="R32:T32" si="6">M32*$J$32</f>
        <v>0</v>
      </c>
      <c r="S32" s="41">
        <f t="shared" si="6"/>
        <v>0</v>
      </c>
      <c r="T32" s="41">
        <f t="shared" si="6"/>
        <v>612</v>
      </c>
      <c r="U32" s="32"/>
    </row>
    <row r="33" spans="1:21" x14ac:dyDescent="0.2">
      <c r="A33" s="93" t="s">
        <v>239</v>
      </c>
      <c r="B33" s="36"/>
      <c r="C33" s="34"/>
      <c r="D33" s="34"/>
      <c r="E33" s="137">
        <v>360</v>
      </c>
      <c r="F33" s="35"/>
      <c r="I33" s="38" t="s">
        <v>217</v>
      </c>
      <c r="J33" s="206">
        <v>68</v>
      </c>
      <c r="K33" s="40"/>
      <c r="L33" s="206">
        <v>6.8</v>
      </c>
      <c r="M33" s="206">
        <v>2.2999999999999998</v>
      </c>
      <c r="N33" s="206">
        <v>0</v>
      </c>
      <c r="O33" s="206">
        <v>4.5</v>
      </c>
      <c r="P33" s="31"/>
      <c r="Q33" s="41">
        <f>L33*$J$33</f>
        <v>462.4</v>
      </c>
      <c r="R33" s="41">
        <f t="shared" ref="R33:T33" si="7">M33*$J$33</f>
        <v>156.39999999999998</v>
      </c>
      <c r="S33" s="41">
        <f t="shared" si="7"/>
        <v>0</v>
      </c>
      <c r="T33" s="41">
        <f t="shared" si="7"/>
        <v>306</v>
      </c>
      <c r="U33" s="32"/>
    </row>
    <row r="34" spans="1:21" x14ac:dyDescent="0.2">
      <c r="A34" s="59"/>
      <c r="B34" s="36"/>
      <c r="C34" s="34"/>
      <c r="D34" s="34"/>
      <c r="E34" s="52"/>
      <c r="F34" s="35"/>
      <c r="I34" s="38" t="s">
        <v>218</v>
      </c>
      <c r="J34" s="206">
        <v>68</v>
      </c>
      <c r="K34" s="40"/>
      <c r="L34" s="206">
        <v>4.5</v>
      </c>
      <c r="M34" s="206">
        <v>4.5</v>
      </c>
      <c r="N34" s="206">
        <v>0</v>
      </c>
      <c r="O34" s="206">
        <v>4.5</v>
      </c>
      <c r="P34" s="31"/>
      <c r="Q34" s="41">
        <f>L34*$J$34</f>
        <v>306</v>
      </c>
      <c r="R34" s="41">
        <f t="shared" ref="R34:T34" si="8">M34*$J$34</f>
        <v>306</v>
      </c>
      <c r="S34" s="41">
        <f t="shared" si="8"/>
        <v>0</v>
      </c>
      <c r="T34" s="41">
        <f t="shared" si="8"/>
        <v>306</v>
      </c>
      <c r="U34" s="32"/>
    </row>
    <row r="35" spans="1:21" x14ac:dyDescent="0.2">
      <c r="A35" s="145" t="s">
        <v>264</v>
      </c>
      <c r="B35" s="59"/>
      <c r="C35" s="95"/>
      <c r="D35" s="59"/>
      <c r="E35" s="138">
        <v>3</v>
      </c>
      <c r="F35" s="35"/>
      <c r="I35" s="31"/>
      <c r="J35" s="65"/>
      <c r="K35" s="57"/>
      <c r="L35" s="65"/>
      <c r="M35" s="65"/>
      <c r="N35" s="65"/>
      <c r="O35" s="65"/>
      <c r="P35" s="31"/>
      <c r="Q35" s="41"/>
      <c r="R35" s="41"/>
      <c r="S35" s="41"/>
      <c r="T35" s="41"/>
      <c r="U35" s="32"/>
    </row>
    <row r="36" spans="1:21" x14ac:dyDescent="0.2">
      <c r="A36" s="145" t="s">
        <v>265</v>
      </c>
      <c r="B36" s="59"/>
      <c r="C36" s="96"/>
      <c r="D36" s="59"/>
      <c r="E36" s="95"/>
      <c r="F36" s="35"/>
      <c r="I36" s="31" t="s">
        <v>219</v>
      </c>
      <c r="J36" s="39">
        <v>10</v>
      </c>
      <c r="K36" s="69">
        <f>J36</f>
        <v>10</v>
      </c>
      <c r="L36" s="39">
        <v>11.3</v>
      </c>
      <c r="M36" s="39">
        <v>2.2999999999999998</v>
      </c>
      <c r="N36" s="39">
        <v>0</v>
      </c>
      <c r="O36" s="39">
        <v>2.2999999999999998</v>
      </c>
      <c r="P36" s="31"/>
      <c r="Q36" s="41">
        <f>L36*$J$36</f>
        <v>113</v>
      </c>
      <c r="R36" s="41">
        <f t="shared" ref="R36:T36" si="9">M36*$J$36</f>
        <v>23</v>
      </c>
      <c r="S36" s="41">
        <f t="shared" si="9"/>
        <v>0</v>
      </c>
      <c r="T36" s="41">
        <f t="shared" si="9"/>
        <v>23</v>
      </c>
      <c r="U36" s="32"/>
    </row>
    <row r="37" spans="1:21" x14ac:dyDescent="0.2">
      <c r="A37" s="59"/>
      <c r="B37" s="59"/>
      <c r="C37" s="96"/>
      <c r="D37" s="59"/>
      <c r="E37" s="95"/>
      <c r="F37" s="77"/>
      <c r="I37" s="33" t="s">
        <v>52</v>
      </c>
      <c r="J37" s="72" t="s">
        <v>52</v>
      </c>
      <c r="K37" s="73" t="s">
        <v>52</v>
      </c>
      <c r="L37" s="72" t="s">
        <v>52</v>
      </c>
      <c r="M37" s="72" t="s">
        <v>52</v>
      </c>
      <c r="N37" s="72" t="s">
        <v>52</v>
      </c>
      <c r="O37" s="72" t="s">
        <v>52</v>
      </c>
      <c r="P37" s="33" t="s">
        <v>52</v>
      </c>
      <c r="Q37" s="33" t="s">
        <v>52</v>
      </c>
      <c r="R37" s="33" t="s">
        <v>52</v>
      </c>
      <c r="S37" s="33" t="s">
        <v>52</v>
      </c>
      <c r="T37" s="33" t="s">
        <v>52</v>
      </c>
      <c r="U37" s="32"/>
    </row>
    <row r="38" spans="1:21" x14ac:dyDescent="0.2">
      <c r="A38" s="145" t="s">
        <v>266</v>
      </c>
      <c r="B38" s="59"/>
      <c r="C38" s="95"/>
      <c r="D38" s="59"/>
      <c r="E38" s="138">
        <v>3</v>
      </c>
      <c r="F38" s="59"/>
      <c r="I38" s="31" t="s">
        <v>220</v>
      </c>
      <c r="J38" s="65" t="s">
        <v>27</v>
      </c>
      <c r="K38" s="57">
        <f>SUM(K18:K36)</f>
        <v>440</v>
      </c>
      <c r="L38" s="65"/>
      <c r="M38" s="65"/>
      <c r="N38" s="65"/>
      <c r="O38" s="65"/>
      <c r="P38" s="31"/>
      <c r="Q38" s="31"/>
      <c r="R38" s="31"/>
      <c r="S38" s="31"/>
      <c r="T38" s="31"/>
      <c r="U38" s="32"/>
    </row>
    <row r="39" spans="1:21" x14ac:dyDescent="0.2">
      <c r="A39" s="93" t="s">
        <v>240</v>
      </c>
      <c r="B39" s="59"/>
      <c r="C39" s="96"/>
      <c r="D39" s="59"/>
      <c r="E39" s="96"/>
      <c r="F39" s="44"/>
      <c r="I39" s="76"/>
      <c r="J39" s="65"/>
      <c r="K39" s="57"/>
      <c r="L39" s="65"/>
      <c r="M39" s="65"/>
      <c r="N39" s="65"/>
      <c r="O39" s="65"/>
      <c r="P39" s="31"/>
      <c r="Q39" s="31"/>
      <c r="R39" s="31"/>
      <c r="S39" s="31"/>
      <c r="T39" s="31"/>
      <c r="U39" s="32"/>
    </row>
    <row r="40" spans="1:21" x14ac:dyDescent="0.2">
      <c r="A40" s="97"/>
      <c r="B40" s="98"/>
      <c r="C40" s="46"/>
      <c r="D40" s="46"/>
      <c r="E40" s="101"/>
      <c r="F40" s="101"/>
      <c r="I40" s="31" t="s">
        <v>221</v>
      </c>
      <c r="J40" s="65"/>
      <c r="K40" s="57"/>
      <c r="L40" s="65"/>
      <c r="M40" s="65"/>
      <c r="N40" s="65"/>
      <c r="O40" s="65"/>
      <c r="P40" s="31"/>
      <c r="Q40" s="31"/>
      <c r="R40" s="31"/>
      <c r="S40" s="31"/>
      <c r="T40" s="31"/>
      <c r="U40" s="32"/>
    </row>
    <row r="41" spans="1:21" x14ac:dyDescent="0.2">
      <c r="A41" s="93" t="s">
        <v>241</v>
      </c>
      <c r="B41" s="59"/>
      <c r="C41" s="99"/>
      <c r="D41" s="59"/>
      <c r="E41" s="138">
        <v>3.05</v>
      </c>
      <c r="F41" s="102"/>
      <c r="I41" s="38" t="s">
        <v>110</v>
      </c>
      <c r="J41" s="39">
        <v>48</v>
      </c>
      <c r="K41" s="40"/>
      <c r="L41" s="39">
        <v>1.4</v>
      </c>
      <c r="M41" s="39">
        <v>0</v>
      </c>
      <c r="N41" s="39">
        <v>0</v>
      </c>
      <c r="O41" s="39">
        <v>0.9</v>
      </c>
      <c r="P41" s="31"/>
      <c r="Q41" s="41">
        <f>L41*$J$41</f>
        <v>67.199999999999989</v>
      </c>
      <c r="R41" s="41">
        <f t="shared" ref="R41:T41" si="10">M41*$J$41</f>
        <v>0</v>
      </c>
      <c r="S41" s="41">
        <f t="shared" si="10"/>
        <v>0</v>
      </c>
      <c r="T41" s="41">
        <f t="shared" si="10"/>
        <v>43.2</v>
      </c>
      <c r="U41" s="32"/>
    </row>
    <row r="42" spans="1:21" x14ac:dyDescent="0.2">
      <c r="A42" s="93" t="s">
        <v>242</v>
      </c>
      <c r="B42" s="59"/>
      <c r="C42" s="100"/>
      <c r="D42" s="100"/>
      <c r="E42" s="96" t="s">
        <v>0</v>
      </c>
      <c r="F42" s="102"/>
      <c r="I42" s="38" t="s">
        <v>111</v>
      </c>
      <c r="J42" s="39">
        <v>48</v>
      </c>
      <c r="K42" s="40"/>
      <c r="L42" s="39">
        <v>2.2999999999999998</v>
      </c>
      <c r="M42" s="39">
        <v>0</v>
      </c>
      <c r="N42" s="39">
        <v>0</v>
      </c>
      <c r="O42" s="39">
        <v>1.4</v>
      </c>
      <c r="P42" s="31"/>
      <c r="Q42" s="41">
        <f>L42*$J$42</f>
        <v>110.39999999999999</v>
      </c>
      <c r="R42" s="41">
        <f t="shared" ref="R42:T42" si="11">M42*$J$42</f>
        <v>0</v>
      </c>
      <c r="S42" s="41">
        <f t="shared" si="11"/>
        <v>0</v>
      </c>
      <c r="T42" s="41">
        <f t="shared" si="11"/>
        <v>67.199999999999989</v>
      </c>
      <c r="U42" s="32"/>
    </row>
    <row r="43" spans="1:21" x14ac:dyDescent="0.2">
      <c r="A43" s="81"/>
      <c r="B43" s="84"/>
      <c r="C43" s="82"/>
      <c r="D43" s="82"/>
      <c r="E43" s="83"/>
      <c r="F43" s="83"/>
      <c r="I43" s="38" t="s">
        <v>112</v>
      </c>
      <c r="J43" s="39">
        <v>72</v>
      </c>
      <c r="K43" s="40"/>
      <c r="L43" s="39">
        <v>1.8</v>
      </c>
      <c r="M43" s="39">
        <v>0.9</v>
      </c>
      <c r="N43" s="39">
        <v>0</v>
      </c>
      <c r="O43" s="39">
        <v>2.2999999999999998</v>
      </c>
      <c r="P43" s="31"/>
      <c r="Q43" s="41">
        <f>L43*$J$43</f>
        <v>129.6</v>
      </c>
      <c r="R43" s="41">
        <f t="shared" ref="R43:T43" si="12">M43*$J$43</f>
        <v>64.8</v>
      </c>
      <c r="S43" s="41">
        <f t="shared" si="12"/>
        <v>0</v>
      </c>
      <c r="T43" s="41">
        <f t="shared" si="12"/>
        <v>165.6</v>
      </c>
      <c r="U43" s="32"/>
    </row>
    <row r="44" spans="1:21" x14ac:dyDescent="0.2">
      <c r="A44" s="32"/>
      <c r="B44" s="32"/>
      <c r="C44" s="21"/>
      <c r="D44" s="21"/>
      <c r="E44" s="1"/>
      <c r="G44" s="49"/>
      <c r="I44" s="38" t="s">
        <v>113</v>
      </c>
      <c r="J44" s="39">
        <v>48</v>
      </c>
      <c r="K44" s="40"/>
      <c r="L44" s="39">
        <v>1.8</v>
      </c>
      <c r="M44" s="39">
        <v>1.8</v>
      </c>
      <c r="N44" s="39">
        <v>0</v>
      </c>
      <c r="O44" s="39">
        <v>2.7</v>
      </c>
      <c r="P44" s="31"/>
      <c r="Q44" s="41">
        <f>L44*$J$44</f>
        <v>86.4</v>
      </c>
      <c r="R44" s="41">
        <f t="shared" ref="R44:T44" si="13">M44*$J$44</f>
        <v>86.4</v>
      </c>
      <c r="S44" s="41">
        <f t="shared" si="13"/>
        <v>0</v>
      </c>
      <c r="T44" s="41">
        <f t="shared" si="13"/>
        <v>129.60000000000002</v>
      </c>
      <c r="U44" s="32"/>
    </row>
    <row r="45" spans="1:21" x14ac:dyDescent="0.2">
      <c r="C45" s="1"/>
      <c r="D45" s="22"/>
      <c r="E45" s="1"/>
      <c r="I45" s="38" t="s">
        <v>222</v>
      </c>
      <c r="J45" s="39">
        <v>156</v>
      </c>
      <c r="K45" s="40"/>
      <c r="L45" s="39">
        <v>3.2</v>
      </c>
      <c r="M45" s="39">
        <v>1.8</v>
      </c>
      <c r="N45" s="39">
        <v>0</v>
      </c>
      <c r="O45" s="39">
        <v>4.0999999999999996</v>
      </c>
      <c r="P45" s="31"/>
      <c r="Q45" s="41">
        <f>L45*$J$45</f>
        <v>499.20000000000005</v>
      </c>
      <c r="R45" s="41">
        <f t="shared" ref="R45:T45" si="14">M45*$J$45</f>
        <v>280.8</v>
      </c>
      <c r="S45" s="41">
        <f t="shared" si="14"/>
        <v>0</v>
      </c>
      <c r="T45" s="41">
        <f t="shared" si="14"/>
        <v>639.59999999999991</v>
      </c>
      <c r="U45" s="32"/>
    </row>
    <row r="46" spans="1:21" x14ac:dyDescent="0.2">
      <c r="A46" s="139" t="s">
        <v>223</v>
      </c>
      <c r="B46" s="108"/>
      <c r="C46" s="110"/>
      <c r="D46" s="108"/>
      <c r="E46" s="108"/>
      <c r="G46" s="79"/>
      <c r="H46" s="32"/>
      <c r="I46" s="33" t="s">
        <v>18</v>
      </c>
      <c r="J46" s="33" t="s">
        <v>18</v>
      </c>
      <c r="K46" s="73" t="s">
        <v>18</v>
      </c>
      <c r="L46" s="33" t="s">
        <v>18</v>
      </c>
      <c r="M46" s="33" t="s">
        <v>18</v>
      </c>
      <c r="N46" s="33" t="s">
        <v>18</v>
      </c>
      <c r="O46" s="33" t="s">
        <v>18</v>
      </c>
      <c r="P46" s="33" t="s">
        <v>18</v>
      </c>
      <c r="Q46" s="33" t="s">
        <v>18</v>
      </c>
      <c r="R46" s="33" t="s">
        <v>18</v>
      </c>
      <c r="S46" s="33" t="s">
        <v>18</v>
      </c>
      <c r="T46" s="33" t="s">
        <v>18</v>
      </c>
      <c r="U46" s="32"/>
    </row>
    <row r="47" spans="1:21" x14ac:dyDescent="0.2">
      <c r="A47" s="111" t="s">
        <v>83</v>
      </c>
      <c r="B47" s="108"/>
      <c r="C47" s="110"/>
      <c r="D47" s="108"/>
      <c r="E47" s="108"/>
      <c r="G47" s="80"/>
      <c r="H47" s="32"/>
      <c r="I47" s="31" t="s">
        <v>221</v>
      </c>
      <c r="J47" s="31" t="s">
        <v>27</v>
      </c>
      <c r="K47" s="57">
        <f>SUM(J41:J45)</f>
        <v>372</v>
      </c>
      <c r="L47" s="31"/>
      <c r="M47" s="31"/>
      <c r="N47" s="31"/>
      <c r="O47" s="31"/>
      <c r="P47" s="31"/>
      <c r="Q47" s="31"/>
      <c r="R47" s="31"/>
      <c r="S47" s="31"/>
      <c r="T47" s="31"/>
      <c r="U47" s="32"/>
    </row>
    <row r="48" spans="1:21" ht="15.75" x14ac:dyDescent="0.25">
      <c r="A48" s="112" t="s">
        <v>224</v>
      </c>
      <c r="B48" s="108"/>
      <c r="C48" s="113"/>
      <c r="D48" s="113"/>
      <c r="E48" s="13">
        <f>(E75)+2*(E35*E41/2)</f>
        <v>21.725392838076743</v>
      </c>
      <c r="G48" s="81"/>
      <c r="H48" s="32"/>
      <c r="I48" s="31"/>
      <c r="J48" s="31"/>
      <c r="K48" s="57"/>
      <c r="L48" s="31"/>
      <c r="M48" s="31"/>
      <c r="N48" s="31"/>
      <c r="O48" s="31"/>
      <c r="P48" s="31"/>
      <c r="Q48" s="31"/>
      <c r="R48" s="31"/>
      <c r="S48" s="31"/>
      <c r="T48" s="31"/>
      <c r="U48" s="32"/>
    </row>
    <row r="49" spans="1:23" x14ac:dyDescent="0.2">
      <c r="A49" s="108"/>
      <c r="B49" s="108"/>
      <c r="C49" s="110"/>
      <c r="D49" s="110"/>
      <c r="E49" s="116"/>
      <c r="G49" s="81"/>
      <c r="H49" s="32"/>
      <c r="I49" s="31"/>
      <c r="J49" s="31"/>
      <c r="K49" s="57"/>
      <c r="L49" s="31"/>
      <c r="M49" s="31"/>
      <c r="N49" s="31"/>
      <c r="O49" s="31"/>
      <c r="P49" s="31"/>
      <c r="Q49" s="31"/>
      <c r="R49" s="31"/>
      <c r="S49" s="31"/>
      <c r="T49" s="31"/>
      <c r="U49" s="32"/>
    </row>
    <row r="50" spans="1:23" ht="15.75" x14ac:dyDescent="0.25">
      <c r="A50" s="112" t="s">
        <v>225</v>
      </c>
      <c r="B50" s="108"/>
      <c r="C50" s="114"/>
      <c r="D50" s="108"/>
      <c r="E50" s="14">
        <f>IF((E75)-2*(E35*E41/2) &gt;=0,E75-2*(E35*E41/2), "Select a Shorter Pile Height-cell E41")</f>
        <v>3.4253928380767444</v>
      </c>
      <c r="G50" s="81"/>
      <c r="H50" s="32"/>
      <c r="I50" s="31"/>
      <c r="J50" s="121"/>
      <c r="K50" s="31"/>
      <c r="L50" s="31"/>
      <c r="M50" s="31" t="s">
        <v>226</v>
      </c>
      <c r="N50" s="31"/>
      <c r="O50" s="121"/>
      <c r="P50" s="31"/>
      <c r="Q50" s="78">
        <f>SUM(Q20:Q45)</f>
        <v>2837.2</v>
      </c>
      <c r="R50" s="78">
        <f>SUM(R20:R45)</f>
        <v>1363.2</v>
      </c>
      <c r="S50" s="78">
        <f>SUM(S20:S45)</f>
        <v>371.2</v>
      </c>
      <c r="T50" s="78">
        <f>SUM(T20:T45)</f>
        <v>3117.5999999999995</v>
      </c>
      <c r="U50" s="32"/>
    </row>
    <row r="51" spans="1:23" ht="15.75" x14ac:dyDescent="0.25">
      <c r="A51" s="108"/>
      <c r="B51" s="108"/>
      <c r="C51" s="110"/>
      <c r="D51" s="108"/>
      <c r="E51" s="108"/>
      <c r="F51" s="86"/>
    </row>
    <row r="52" spans="1:23" ht="18" x14ac:dyDescent="0.25">
      <c r="A52" s="112" t="s">
        <v>227</v>
      </c>
      <c r="B52" s="108"/>
      <c r="C52" s="115"/>
      <c r="D52" s="108"/>
      <c r="E52" s="12">
        <f>(E33*(E31))+2*(E38*E41/2)</f>
        <v>118.94999999999999</v>
      </c>
      <c r="F52" s="27"/>
      <c r="L52" s="27" t="str">
        <f>IF(E52&gt;60,"Existem benefícios em ter múltiplos silos quando o comprimento inferior excede 60 metros."," ")</f>
        <v>Existem benefícios em ter múltiplos silos quando o comprimento inferior excede 60 metros.</v>
      </c>
      <c r="T52" s="32"/>
      <c r="U52" s="32"/>
      <c r="V52" s="32"/>
      <c r="W52" s="32"/>
    </row>
    <row r="53" spans="1:23" ht="18" x14ac:dyDescent="0.25">
      <c r="A53" s="108"/>
      <c r="B53" s="108"/>
      <c r="C53" s="116"/>
      <c r="D53" s="108"/>
      <c r="E53" s="116"/>
      <c r="L53" s="27" t="str">
        <f>IF(E52&gt;60, "Considere dividir o Número de dias de fornecimento (Célula E33) por 2 ou 3 e usar essa quantidade de silos", " ")</f>
        <v>Considere dividir o Número de dias de fornecimento (Célula E33) por 2 ou 3 e usar essa quantidade de silos</v>
      </c>
      <c r="T53" s="32"/>
      <c r="U53" s="32"/>
      <c r="V53" s="32"/>
      <c r="W53" s="32"/>
    </row>
    <row r="54" spans="1:23" ht="18" x14ac:dyDescent="0.25">
      <c r="A54" s="112" t="s">
        <v>228</v>
      </c>
      <c r="B54" s="108"/>
      <c r="C54" s="117"/>
      <c r="D54" s="108"/>
      <c r="E54" s="25">
        <f>IF((E76)-2*(E38*E41/2) &gt;=0,E76-2*(E38*E41/2), "Select a Shorter Pile Height-cell E41")</f>
        <v>100.65</v>
      </c>
      <c r="L54" s="27"/>
      <c r="T54" s="32"/>
      <c r="U54" s="32"/>
      <c r="V54" s="32"/>
      <c r="W54" s="32"/>
    </row>
    <row r="55" spans="1:23" ht="18" x14ac:dyDescent="0.25">
      <c r="A55" s="108"/>
      <c r="B55" s="108"/>
      <c r="C55" s="110"/>
      <c r="D55" s="108"/>
      <c r="E55" s="108"/>
      <c r="M55" s="27"/>
      <c r="T55" s="32"/>
      <c r="U55" s="32"/>
      <c r="V55" s="32"/>
      <c r="W55" s="32"/>
    </row>
    <row r="56" spans="1:23" ht="15.75" x14ac:dyDescent="0.25">
      <c r="A56" s="112" t="s">
        <v>257</v>
      </c>
      <c r="B56" s="108"/>
      <c r="C56" s="110"/>
      <c r="D56" s="110"/>
      <c r="E56" s="103">
        <f>E18*E33/1000</f>
        <v>979.77599999999995</v>
      </c>
    </row>
    <row r="57" spans="1:23" ht="15.75" x14ac:dyDescent="0.25">
      <c r="A57" s="112"/>
      <c r="B57" s="108"/>
      <c r="C57" s="110"/>
      <c r="D57" s="110"/>
      <c r="E57" s="120"/>
    </row>
    <row r="58" spans="1:23" ht="15.75" x14ac:dyDescent="0.25">
      <c r="A58" s="112" t="s">
        <v>243</v>
      </c>
      <c r="B58" s="108"/>
      <c r="C58" s="110"/>
      <c r="D58" s="110"/>
      <c r="E58" s="103">
        <f>E56/(1-E29/100)</f>
        <v>2969.0181818181823</v>
      </c>
      <c r="G58" s="32"/>
      <c r="H58" s="32"/>
    </row>
    <row r="59" spans="1:23" ht="15.75" x14ac:dyDescent="0.25">
      <c r="A59" s="112"/>
      <c r="B59" s="108"/>
      <c r="C59" s="110"/>
      <c r="D59" s="110"/>
      <c r="E59" s="120"/>
      <c r="G59" s="28"/>
    </row>
    <row r="60" spans="1:23" ht="15.75" x14ac:dyDescent="0.25">
      <c r="A60" s="112" t="s">
        <v>244</v>
      </c>
      <c r="B60" s="108"/>
      <c r="C60" s="110"/>
      <c r="D60" s="110"/>
      <c r="E60" s="103">
        <f>E56/(1-((E21+E24)/100))</f>
        <v>1152.6776470588236</v>
      </c>
    </row>
    <row r="61" spans="1:23" ht="15.75" x14ac:dyDescent="0.25">
      <c r="A61" s="112"/>
      <c r="B61" s="108"/>
      <c r="C61" s="118"/>
      <c r="D61" s="110"/>
      <c r="E61" s="120"/>
    </row>
    <row r="62" spans="1:23" ht="15.75" x14ac:dyDescent="0.25">
      <c r="A62" s="112" t="s">
        <v>245</v>
      </c>
      <c r="B62" s="108"/>
      <c r="C62" s="110"/>
      <c r="D62" s="110"/>
      <c r="E62" s="103">
        <f>E58/(1-((E21+E24)/100))</f>
        <v>3492.9625668449203</v>
      </c>
    </row>
    <row r="63" spans="1:23" x14ac:dyDescent="0.2">
      <c r="A63" s="108"/>
      <c r="B63" s="108"/>
      <c r="C63" s="110"/>
      <c r="D63" s="108"/>
      <c r="E63" s="108"/>
      <c r="G63" s="83"/>
      <c r="H63" s="83"/>
      <c r="I63" s="81"/>
      <c r="J63" s="32"/>
      <c r="K63" s="32"/>
      <c r="L63" s="32"/>
      <c r="M63" s="87"/>
      <c r="N63" s="32"/>
      <c r="O63" s="32"/>
      <c r="P63" s="32"/>
    </row>
    <row r="64" spans="1:23" ht="15" x14ac:dyDescent="0.2">
      <c r="A64" s="119" t="s">
        <v>81</v>
      </c>
      <c r="B64" s="108"/>
      <c r="C64" s="110"/>
      <c r="D64" s="108"/>
      <c r="E64" s="108"/>
      <c r="G64" s="83"/>
      <c r="H64" s="83"/>
      <c r="I64" s="81"/>
      <c r="J64" s="32"/>
      <c r="K64" s="32"/>
      <c r="L64" s="32"/>
      <c r="M64" s="87"/>
      <c r="N64" s="32"/>
      <c r="O64" s="32"/>
      <c r="P64" s="32"/>
    </row>
    <row r="65" spans="1:19" ht="15.75" x14ac:dyDescent="0.25">
      <c r="A65" s="5" t="s">
        <v>246</v>
      </c>
      <c r="C65" s="1"/>
      <c r="G65" s="83"/>
      <c r="H65" s="83"/>
      <c r="I65" s="81"/>
      <c r="J65" s="32"/>
      <c r="K65" s="32"/>
      <c r="L65" s="32"/>
      <c r="M65" s="92">
        <f>E50</f>
        <v>3.4253928380767444</v>
      </c>
      <c r="N65" s="91" t="s">
        <v>16</v>
      </c>
      <c r="O65" s="32"/>
      <c r="P65" s="32"/>
      <c r="S65" s="32"/>
    </row>
    <row r="66" spans="1:19" x14ac:dyDescent="0.2">
      <c r="A66" s="5" t="s">
        <v>247</v>
      </c>
      <c r="C66" s="1"/>
      <c r="G66" s="1"/>
      <c r="H66" t="s">
        <v>0</v>
      </c>
      <c r="S66" s="32"/>
    </row>
    <row r="67" spans="1:19" x14ac:dyDescent="0.2">
      <c r="C67" s="1"/>
      <c r="G67" s="1"/>
      <c r="S67" s="32"/>
    </row>
    <row r="68" spans="1:19" x14ac:dyDescent="0.2">
      <c r="C68" s="1"/>
      <c r="G68" s="1"/>
    </row>
    <row r="69" spans="1:19" ht="15.75" x14ac:dyDescent="0.25">
      <c r="C69" s="1"/>
      <c r="G69" s="1"/>
      <c r="O69" s="140"/>
      <c r="P69" s="92">
        <f>E35</f>
        <v>3</v>
      </c>
    </row>
    <row r="70" spans="1:19" x14ac:dyDescent="0.2">
      <c r="C70" s="7"/>
      <c r="D70" s="1"/>
      <c r="E70" s="1"/>
      <c r="G70" s="1"/>
    </row>
    <row r="71" spans="1:19" ht="15.75" x14ac:dyDescent="0.25">
      <c r="A71" s="26"/>
      <c r="B71" s="26"/>
      <c r="C71" s="88"/>
      <c r="D71" s="32"/>
      <c r="E71" s="88"/>
      <c r="G71" s="1"/>
      <c r="J71" s="15"/>
    </row>
    <row r="72" spans="1:19" x14ac:dyDescent="0.2">
      <c r="A72" s="28" t="s">
        <v>259</v>
      </c>
      <c r="C72" s="21"/>
      <c r="D72" s="21"/>
      <c r="E72" s="90">
        <f>E27*(100-E29)/100</f>
        <v>232.65</v>
      </c>
      <c r="G72" s="1"/>
    </row>
    <row r="73" spans="1:19" ht="15.75" x14ac:dyDescent="0.25">
      <c r="A73" s="28" t="s">
        <v>258</v>
      </c>
      <c r="C73" s="7"/>
      <c r="D73" s="7"/>
      <c r="E73" s="90">
        <f>E18/E72</f>
        <v>11.69825918762089</v>
      </c>
      <c r="G73" s="13">
        <f>E41</f>
        <v>3.05</v>
      </c>
      <c r="H73" s="24" t="s">
        <v>16</v>
      </c>
    </row>
    <row r="74" spans="1:19" ht="15.75" x14ac:dyDescent="0.25">
      <c r="A74" s="5" t="s">
        <v>248</v>
      </c>
      <c r="C74" s="7"/>
      <c r="D74" s="7"/>
      <c r="E74" s="90">
        <f>E73/(E31)</f>
        <v>38.354948156134064</v>
      </c>
      <c r="G74" s="1"/>
      <c r="I74" s="23">
        <f>E41/2</f>
        <v>1.5249999999999999</v>
      </c>
      <c r="J74" s="24" t="s">
        <v>16</v>
      </c>
    </row>
    <row r="75" spans="1:19" x14ac:dyDescent="0.2">
      <c r="A75" s="5" t="s">
        <v>249</v>
      </c>
      <c r="C75" s="7"/>
      <c r="D75" s="7"/>
      <c r="E75" s="90">
        <f>E74/E41</f>
        <v>12.575392838076743</v>
      </c>
      <c r="G75" s="1"/>
    </row>
    <row r="76" spans="1:19" x14ac:dyDescent="0.2">
      <c r="A76" s="5" t="s">
        <v>250</v>
      </c>
      <c r="B76" s="5"/>
      <c r="C76" s="89"/>
      <c r="E76" s="11">
        <f>E33*(E31)</f>
        <v>109.8</v>
      </c>
      <c r="G76" s="1"/>
    </row>
    <row r="77" spans="1:19" x14ac:dyDescent="0.2">
      <c r="C77" s="1"/>
      <c r="G77" s="4"/>
    </row>
    <row r="78" spans="1:19" x14ac:dyDescent="0.2">
      <c r="C78" s="7"/>
      <c r="D78" s="1"/>
      <c r="G78" s="4"/>
    </row>
    <row r="79" spans="1:19" x14ac:dyDescent="0.2">
      <c r="C79" s="1"/>
      <c r="G79" s="1"/>
    </row>
    <row r="80" spans="1:19" x14ac:dyDescent="0.2">
      <c r="C80" s="1"/>
      <c r="G80" s="1"/>
    </row>
    <row r="81" spans="3:14" x14ac:dyDescent="0.2">
      <c r="C81" s="1"/>
      <c r="G81" s="1"/>
    </row>
    <row r="82" spans="3:14" x14ac:dyDescent="0.2">
      <c r="C82" s="1"/>
      <c r="G82" s="1"/>
    </row>
    <row r="83" spans="3:14" ht="15.75" x14ac:dyDescent="0.25">
      <c r="C83" s="1"/>
      <c r="G83" s="1"/>
      <c r="M83" s="13">
        <f>E48</f>
        <v>21.725392838076743</v>
      </c>
      <c r="N83" s="91" t="s">
        <v>16</v>
      </c>
    </row>
    <row r="84" spans="3:14" x14ac:dyDescent="0.2">
      <c r="C84" s="1"/>
      <c r="G84" s="1"/>
    </row>
    <row r="85" spans="3:14" x14ac:dyDescent="0.2">
      <c r="C85" s="1"/>
    </row>
    <row r="86" spans="3:14" x14ac:dyDescent="0.2">
      <c r="C86" s="1"/>
    </row>
    <row r="87" spans="3:14" x14ac:dyDescent="0.2">
      <c r="C87" s="1"/>
    </row>
    <row r="88" spans="3:14" x14ac:dyDescent="0.2">
      <c r="C88" s="1"/>
    </row>
    <row r="89" spans="3:14" x14ac:dyDescent="0.2">
      <c r="C89" s="1"/>
    </row>
    <row r="90" spans="3:14" x14ac:dyDescent="0.2">
      <c r="C90" s="1"/>
    </row>
    <row r="91" spans="3:14" x14ac:dyDescent="0.2">
      <c r="C91" s="1"/>
    </row>
    <row r="92" spans="3:14" x14ac:dyDescent="0.2">
      <c r="C92" s="1"/>
    </row>
    <row r="93" spans="3:14" x14ac:dyDescent="0.2">
      <c r="C93" s="1"/>
    </row>
    <row r="94" spans="3:14" x14ac:dyDescent="0.2">
      <c r="C94" s="1"/>
    </row>
    <row r="95" spans="3:14" x14ac:dyDescent="0.2">
      <c r="C95" s="1"/>
    </row>
    <row r="96" spans="3:14" x14ac:dyDescent="0.2">
      <c r="C96" s="1"/>
    </row>
    <row r="97" spans="3:9" x14ac:dyDescent="0.2">
      <c r="C97" s="1"/>
    </row>
    <row r="98" spans="3:9" x14ac:dyDescent="0.2">
      <c r="C98" s="1"/>
    </row>
    <row r="99" spans="3:9" x14ac:dyDescent="0.2">
      <c r="C99" s="1"/>
    </row>
    <row r="100" spans="3:9" x14ac:dyDescent="0.2">
      <c r="C100" s="1"/>
    </row>
    <row r="101" spans="3:9" x14ac:dyDescent="0.2">
      <c r="C101" s="1"/>
    </row>
    <row r="102" spans="3:9" x14ac:dyDescent="0.2">
      <c r="C102" s="1"/>
    </row>
    <row r="103" spans="3:9" x14ac:dyDescent="0.2">
      <c r="C103" s="1"/>
    </row>
    <row r="104" spans="3:9" x14ac:dyDescent="0.2">
      <c r="C104" s="1"/>
    </row>
    <row r="105" spans="3:9" x14ac:dyDescent="0.2">
      <c r="C105" s="1"/>
    </row>
    <row r="106" spans="3:9" x14ac:dyDescent="0.2">
      <c r="C106" s="1"/>
    </row>
    <row r="107" spans="3:9" x14ac:dyDescent="0.2">
      <c r="C107" s="1"/>
    </row>
    <row r="108" spans="3:9" x14ac:dyDescent="0.2">
      <c r="C108" s="1"/>
    </row>
    <row r="109" spans="3:9" x14ac:dyDescent="0.2">
      <c r="C109" s="1"/>
      <c r="I109" s="1" t="s">
        <v>0</v>
      </c>
    </row>
    <row r="110" spans="3:9" x14ac:dyDescent="0.2">
      <c r="C110" s="1"/>
    </row>
    <row r="111" spans="3:9" x14ac:dyDescent="0.2">
      <c r="C111" s="1"/>
    </row>
    <row r="112" spans="3:9" x14ac:dyDescent="0.2">
      <c r="C112" s="1"/>
    </row>
    <row r="113" spans="3:3" x14ac:dyDescent="0.2">
      <c r="C113" s="1"/>
    </row>
    <row r="114" spans="3:3" x14ac:dyDescent="0.2">
      <c r="C114" s="1"/>
    </row>
    <row r="115" spans="3:3" x14ac:dyDescent="0.2">
      <c r="C115" s="1"/>
    </row>
    <row r="116" spans="3:3" x14ac:dyDescent="0.2">
      <c r="C116" s="1"/>
    </row>
    <row r="117" spans="3:3" x14ac:dyDescent="0.2">
      <c r="C117" s="1"/>
    </row>
    <row r="118" spans="3:3" x14ac:dyDescent="0.2">
      <c r="C118" s="1"/>
    </row>
    <row r="119" spans="3:3" x14ac:dyDescent="0.2">
      <c r="C119" s="1"/>
    </row>
    <row r="120" spans="3:3" x14ac:dyDescent="0.2">
      <c r="C120" s="1"/>
    </row>
    <row r="121" spans="3:3" x14ac:dyDescent="0.2">
      <c r="C121" s="1"/>
    </row>
    <row r="122" spans="3:3" x14ac:dyDescent="0.2">
      <c r="C122" s="1"/>
    </row>
    <row r="123" spans="3:3" x14ac:dyDescent="0.2">
      <c r="C123" s="1"/>
    </row>
    <row r="124" spans="3:3" x14ac:dyDescent="0.2">
      <c r="C124" s="1"/>
    </row>
    <row r="125" spans="3:3" x14ac:dyDescent="0.2">
      <c r="C125" s="1"/>
    </row>
    <row r="126" spans="3:3" x14ac:dyDescent="0.2">
      <c r="C126" s="1"/>
    </row>
    <row r="127" spans="3:3" x14ac:dyDescent="0.2">
      <c r="C127" s="1"/>
    </row>
    <row r="128" spans="3:3" x14ac:dyDescent="0.2">
      <c r="C128" s="1"/>
    </row>
    <row r="129" spans="3:3" x14ac:dyDescent="0.2">
      <c r="C129" s="1"/>
    </row>
    <row r="130" spans="3:3" x14ac:dyDescent="0.2">
      <c r="C130" s="1"/>
    </row>
    <row r="131" spans="3:3" x14ac:dyDescent="0.2">
      <c r="C131" s="1"/>
    </row>
    <row r="132" spans="3:3" x14ac:dyDescent="0.2">
      <c r="C132" s="1"/>
    </row>
    <row r="133" spans="3:3" x14ac:dyDescent="0.2">
      <c r="C133" s="1"/>
    </row>
    <row r="134" spans="3:3" x14ac:dyDescent="0.2">
      <c r="C134" s="1"/>
    </row>
    <row r="135" spans="3:3" x14ac:dyDescent="0.2">
      <c r="C135" s="1"/>
    </row>
    <row r="136" spans="3:3" x14ac:dyDescent="0.2">
      <c r="C136" s="1"/>
    </row>
    <row r="137" spans="3:3" x14ac:dyDescent="0.2">
      <c r="C137" s="1"/>
    </row>
    <row r="138" spans="3:3" x14ac:dyDescent="0.2">
      <c r="C138" s="1"/>
    </row>
    <row r="139" spans="3:3" x14ac:dyDescent="0.2">
      <c r="C139" s="1"/>
    </row>
    <row r="140" spans="3:3" x14ac:dyDescent="0.2">
      <c r="C140" s="1"/>
    </row>
    <row r="141" spans="3:3" x14ac:dyDescent="0.2">
      <c r="C141" s="1"/>
    </row>
    <row r="142" spans="3:3" x14ac:dyDescent="0.2">
      <c r="C142" s="1"/>
    </row>
    <row r="143" spans="3:3" x14ac:dyDescent="0.2">
      <c r="C143" s="1"/>
    </row>
    <row r="144" spans="3:3" x14ac:dyDescent="0.2">
      <c r="C144" s="1"/>
    </row>
    <row r="145" spans="3:3" x14ac:dyDescent="0.2">
      <c r="C145" s="1"/>
    </row>
    <row r="146" spans="3:3" x14ac:dyDescent="0.2">
      <c r="C146" s="1"/>
    </row>
    <row r="147" spans="3:3" x14ac:dyDescent="0.2">
      <c r="C147" s="1"/>
    </row>
    <row r="148" spans="3:3" x14ac:dyDescent="0.2">
      <c r="C148" s="1"/>
    </row>
    <row r="149" spans="3:3" x14ac:dyDescent="0.2">
      <c r="C149" s="1"/>
    </row>
    <row r="150" spans="3:3" x14ac:dyDescent="0.2">
      <c r="C150" s="1"/>
    </row>
    <row r="151" spans="3:3" x14ac:dyDescent="0.2">
      <c r="C151" s="1"/>
    </row>
    <row r="152" spans="3:3" x14ac:dyDescent="0.2">
      <c r="C152" s="1"/>
    </row>
    <row r="153" spans="3:3" x14ac:dyDescent="0.2">
      <c r="C153" s="1"/>
    </row>
    <row r="154" spans="3:3" x14ac:dyDescent="0.2">
      <c r="C154" s="1"/>
    </row>
    <row r="155" spans="3:3" x14ac:dyDescent="0.2">
      <c r="C155" s="1"/>
    </row>
    <row r="156" spans="3:3" x14ac:dyDescent="0.2">
      <c r="C156" s="1"/>
    </row>
    <row r="157" spans="3:3" x14ac:dyDescent="0.2">
      <c r="C157" s="1"/>
    </row>
    <row r="158" spans="3:3" x14ac:dyDescent="0.2">
      <c r="C158" s="1"/>
    </row>
  </sheetData>
  <sheetProtection sheet="1" objects="1" scenarios="1"/>
  <dataValidations count="1">
    <dataValidation type="list" allowBlank="1" showInputMessage="1" showErrorMessage="1" sqref="E16">
      <formula1>"Silagem Forragem 1, Silagem Forragem 2, Silagem Forragem 3, Silagem Milho, Minha Silagem"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110"/>
  <sheetViews>
    <sheetView zoomScale="80" zoomScaleNormal="80" workbookViewId="0">
      <selection activeCell="F20" sqref="F20"/>
    </sheetView>
  </sheetViews>
  <sheetFormatPr defaultRowHeight="12.75" x14ac:dyDescent="0.2"/>
  <cols>
    <col min="1" max="1" width="69" customWidth="1"/>
    <col min="5" max="5" width="18.28515625" customWidth="1"/>
    <col min="6" max="6" width="16.140625" customWidth="1"/>
    <col min="7" max="7" width="23.28515625" customWidth="1"/>
    <col min="8" max="8" width="12" customWidth="1"/>
    <col min="9" max="9" width="17.85546875" customWidth="1"/>
    <col min="12" max="12" width="13.42578125" customWidth="1"/>
    <col min="13" max="13" width="13.85546875" customWidth="1"/>
    <col min="14" max="14" width="14.140625" customWidth="1"/>
    <col min="15" max="15" width="12" customWidth="1"/>
    <col min="17" max="18" width="13.42578125" customWidth="1"/>
    <col min="19" max="19" width="14.5703125" customWidth="1"/>
  </cols>
  <sheetData>
    <row r="1" spans="1:29" ht="18.75" x14ac:dyDescent="0.3">
      <c r="A1" s="142" t="s">
        <v>270</v>
      </c>
      <c r="B1" s="107" t="s">
        <v>124</v>
      </c>
      <c r="C1" s="17"/>
      <c r="D1" s="16"/>
      <c r="E1" s="16"/>
      <c r="F1" s="16"/>
      <c r="G1" s="16"/>
      <c r="H1" s="16"/>
      <c r="I1" s="108"/>
      <c r="J1" s="108"/>
      <c r="K1" s="108"/>
      <c r="L1" s="108"/>
      <c r="M1" s="32"/>
      <c r="N1" s="32"/>
      <c r="O1" s="32"/>
    </row>
    <row r="2" spans="1:29" x14ac:dyDescent="0.2">
      <c r="A2" s="2"/>
      <c r="B2" s="107" t="s">
        <v>125</v>
      </c>
      <c r="C2" s="17"/>
      <c r="D2" s="16"/>
      <c r="E2" s="16"/>
      <c r="F2" s="16"/>
      <c r="G2" s="16"/>
      <c r="H2" s="16"/>
      <c r="I2" s="108"/>
      <c r="J2" s="108"/>
      <c r="K2" s="108"/>
      <c r="L2" s="108"/>
      <c r="M2" s="32"/>
      <c r="N2" s="32"/>
      <c r="O2" s="32"/>
    </row>
    <row r="3" spans="1:29" x14ac:dyDescent="0.2">
      <c r="A3" s="2" t="s">
        <v>126</v>
      </c>
      <c r="B3" s="107" t="s">
        <v>127</v>
      </c>
      <c r="C3" s="17"/>
      <c r="D3" s="16"/>
      <c r="E3" s="16"/>
      <c r="F3" s="16"/>
      <c r="G3" s="16"/>
      <c r="H3" s="16"/>
      <c r="I3" s="108"/>
      <c r="J3" s="108"/>
      <c r="K3" s="108"/>
      <c r="L3" s="108"/>
      <c r="M3" s="32"/>
      <c r="N3" s="32"/>
      <c r="O3" s="32"/>
    </row>
    <row r="4" spans="1:29" x14ac:dyDescent="0.2">
      <c r="A4" s="2" t="s">
        <v>128</v>
      </c>
      <c r="B4" s="107" t="s">
        <v>129</v>
      </c>
      <c r="C4" s="17"/>
      <c r="D4" s="108"/>
      <c r="E4" s="16"/>
      <c r="F4" s="16"/>
      <c r="G4" s="16"/>
      <c r="H4" s="16"/>
      <c r="I4" s="108"/>
      <c r="J4" s="108"/>
      <c r="K4" s="108"/>
      <c r="L4" s="108"/>
      <c r="M4" s="32"/>
      <c r="N4" s="32"/>
      <c r="O4" s="32"/>
    </row>
    <row r="5" spans="1:29" x14ac:dyDescent="0.2">
      <c r="A5" s="8" t="s">
        <v>130</v>
      </c>
      <c r="B5" s="107" t="s">
        <v>131</v>
      </c>
      <c r="C5" s="17"/>
      <c r="D5" s="16"/>
      <c r="E5" s="16"/>
      <c r="F5" s="16"/>
      <c r="G5" s="16"/>
      <c r="H5" s="16"/>
      <c r="I5" s="108"/>
      <c r="J5" s="108"/>
      <c r="K5" s="108"/>
      <c r="L5" s="108"/>
      <c r="M5" s="32"/>
      <c r="N5" s="32"/>
      <c r="O5" s="32"/>
    </row>
    <row r="6" spans="1:29" x14ac:dyDescent="0.2">
      <c r="A6" s="8"/>
      <c r="B6" s="144" t="s">
        <v>275</v>
      </c>
      <c r="C6" s="17"/>
      <c r="D6" s="16"/>
      <c r="E6" s="16"/>
      <c r="F6" s="16"/>
      <c r="G6" s="16"/>
      <c r="H6" s="16"/>
      <c r="I6" s="108"/>
      <c r="J6" s="108"/>
      <c r="K6" s="108"/>
      <c r="L6" s="108"/>
      <c r="M6" s="32"/>
      <c r="N6" s="32"/>
      <c r="O6" s="32"/>
    </row>
    <row r="7" spans="1:29" x14ac:dyDescent="0.2">
      <c r="A7" s="147" t="s">
        <v>132</v>
      </c>
      <c r="B7" s="148"/>
      <c r="C7" s="149"/>
      <c r="D7" s="149"/>
      <c r="E7" s="149"/>
      <c r="F7" s="149"/>
      <c r="G7" s="149"/>
      <c r="H7" s="150"/>
    </row>
    <row r="8" spans="1:29" x14ac:dyDescent="0.2">
      <c r="A8" s="147" t="s">
        <v>133</v>
      </c>
      <c r="B8" s="151"/>
      <c r="C8" s="152"/>
      <c r="D8" s="152"/>
      <c r="E8" s="152"/>
      <c r="F8" s="152"/>
      <c r="G8" s="152"/>
      <c r="H8" s="153"/>
    </row>
    <row r="9" spans="1:29" x14ac:dyDescent="0.2">
      <c r="A9" s="2"/>
      <c r="B9" s="6"/>
      <c r="C9" s="3"/>
      <c r="D9" s="3"/>
    </row>
    <row r="10" spans="1:29" x14ac:dyDescent="0.2">
      <c r="A10" s="183" t="s">
        <v>253</v>
      </c>
      <c r="B10" s="184" t="s">
        <v>8</v>
      </c>
      <c r="C10" s="185" t="s">
        <v>14</v>
      </c>
      <c r="D10" s="185" t="s">
        <v>31</v>
      </c>
      <c r="E10" s="3"/>
    </row>
    <row r="11" spans="1:29" x14ac:dyDescent="0.2">
      <c r="A11" s="174"/>
      <c r="B11" s="29"/>
      <c r="C11" s="146" t="s">
        <v>282</v>
      </c>
      <c r="D11" s="34"/>
      <c r="E11" s="35"/>
      <c r="F11" s="35"/>
      <c r="G11" s="59"/>
      <c r="H11" s="32"/>
    </row>
    <row r="12" spans="1:29" ht="18.75" x14ac:dyDescent="0.3">
      <c r="A12" s="186" t="s">
        <v>274</v>
      </c>
      <c r="B12" s="36"/>
      <c r="C12" s="34"/>
      <c r="D12" s="34"/>
      <c r="E12" s="35"/>
      <c r="F12" s="35"/>
      <c r="I12" s="30" t="s">
        <v>134</v>
      </c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121"/>
      <c r="V12" s="121"/>
      <c r="W12" s="121"/>
      <c r="X12" s="121"/>
      <c r="Y12" s="121"/>
      <c r="Z12" s="121"/>
      <c r="AA12" s="121"/>
      <c r="AB12" s="121"/>
      <c r="AC12" s="121"/>
    </row>
    <row r="13" spans="1:29" x14ac:dyDescent="0.2">
      <c r="A13" s="187" t="s">
        <v>31</v>
      </c>
      <c r="B13" s="187" t="s">
        <v>31</v>
      </c>
      <c r="C13" s="187" t="s">
        <v>31</v>
      </c>
      <c r="D13" s="187" t="s">
        <v>31</v>
      </c>
      <c r="E13" s="37" t="s">
        <v>31</v>
      </c>
      <c r="F13" s="37" t="s">
        <v>31</v>
      </c>
      <c r="I13" s="33" t="s">
        <v>18</v>
      </c>
      <c r="J13" s="33" t="s">
        <v>18</v>
      </c>
      <c r="K13" s="33" t="s">
        <v>18</v>
      </c>
      <c r="L13" s="33" t="s">
        <v>18</v>
      </c>
      <c r="M13" s="33" t="s">
        <v>18</v>
      </c>
      <c r="N13" s="33" t="s">
        <v>18</v>
      </c>
      <c r="O13" s="33" t="s">
        <v>18</v>
      </c>
      <c r="P13" s="33" t="s">
        <v>18</v>
      </c>
      <c r="Q13" s="33" t="s">
        <v>18</v>
      </c>
      <c r="R13" s="33" t="s">
        <v>18</v>
      </c>
      <c r="S13" s="33" t="s">
        <v>18</v>
      </c>
      <c r="T13" s="33" t="s">
        <v>18</v>
      </c>
      <c r="U13" s="32"/>
    </row>
    <row r="14" spans="1:29" x14ac:dyDescent="0.2">
      <c r="A14" s="188"/>
      <c r="B14" s="36"/>
      <c r="C14" s="34"/>
      <c r="D14" s="43"/>
      <c r="E14" s="94"/>
      <c r="F14" s="44"/>
      <c r="I14" s="31"/>
      <c r="J14" s="31"/>
      <c r="K14" s="31"/>
      <c r="L14" s="31" t="s">
        <v>135</v>
      </c>
      <c r="M14" s="31" t="s">
        <v>135</v>
      </c>
      <c r="N14" s="31" t="s">
        <v>135</v>
      </c>
      <c r="O14" s="31" t="s">
        <v>136</v>
      </c>
      <c r="P14" s="31"/>
      <c r="Q14" s="31" t="s">
        <v>135</v>
      </c>
      <c r="R14" s="31" t="s">
        <v>135</v>
      </c>
      <c r="S14" s="31" t="s">
        <v>135</v>
      </c>
      <c r="T14" s="31" t="s">
        <v>136</v>
      </c>
      <c r="U14" s="32"/>
    </row>
    <row r="15" spans="1:29" x14ac:dyDescent="0.2">
      <c r="A15" s="188"/>
      <c r="B15" s="45"/>
      <c r="C15" s="46"/>
      <c r="D15" s="47"/>
      <c r="E15" s="48"/>
      <c r="F15" s="48"/>
      <c r="G15" s="49"/>
      <c r="I15" s="31"/>
      <c r="J15" s="31" t="s">
        <v>137</v>
      </c>
      <c r="K15" s="31"/>
      <c r="L15" s="31" t="s">
        <v>138</v>
      </c>
      <c r="M15" s="31" t="s">
        <v>139</v>
      </c>
      <c r="N15" s="31" t="s">
        <v>140</v>
      </c>
      <c r="O15" s="31" t="s">
        <v>141</v>
      </c>
      <c r="P15" s="31"/>
      <c r="Q15" s="31" t="s">
        <v>138</v>
      </c>
      <c r="R15" s="31" t="s">
        <v>139</v>
      </c>
      <c r="S15" s="31" t="s">
        <v>140</v>
      </c>
      <c r="T15" s="31" t="s">
        <v>141</v>
      </c>
      <c r="U15" s="32"/>
    </row>
    <row r="16" spans="1:29" ht="15" x14ac:dyDescent="0.25">
      <c r="A16" s="189" t="s">
        <v>142</v>
      </c>
      <c r="B16" s="36"/>
      <c r="C16" s="34"/>
      <c r="D16" s="34"/>
      <c r="E16" s="50" t="s">
        <v>143</v>
      </c>
      <c r="F16" s="51" t="s">
        <v>144</v>
      </c>
      <c r="G16" s="174"/>
      <c r="H16" s="174"/>
      <c r="I16" s="31"/>
      <c r="J16" s="31" t="s">
        <v>105</v>
      </c>
      <c r="K16" s="31"/>
      <c r="L16" s="127"/>
      <c r="M16" s="31"/>
      <c r="N16" s="31"/>
      <c r="O16" s="31"/>
      <c r="P16" s="31"/>
      <c r="Q16" s="31"/>
      <c r="R16" s="31"/>
      <c r="S16" s="31"/>
      <c r="T16" s="31"/>
      <c r="U16" s="32"/>
    </row>
    <row r="17" spans="1:21" x14ac:dyDescent="0.2">
      <c r="A17" s="188"/>
      <c r="B17" s="36"/>
      <c r="C17" s="34"/>
      <c r="D17" s="34"/>
      <c r="E17" s="200"/>
      <c r="F17" s="51" t="s">
        <v>145</v>
      </c>
      <c r="G17" s="174"/>
      <c r="H17" s="174"/>
      <c r="I17" s="31" t="s">
        <v>146</v>
      </c>
      <c r="J17" s="31" t="s">
        <v>106</v>
      </c>
      <c r="K17" s="31" t="s">
        <v>27</v>
      </c>
      <c r="L17" s="126" t="s">
        <v>147</v>
      </c>
      <c r="M17" s="31"/>
      <c r="N17" s="31"/>
      <c r="O17" s="31"/>
      <c r="P17" s="31"/>
      <c r="Q17" s="126" t="s">
        <v>148</v>
      </c>
      <c r="R17" s="31"/>
      <c r="S17" s="31"/>
      <c r="T17" s="31"/>
      <c r="U17" s="32"/>
    </row>
    <row r="18" spans="1:21" x14ac:dyDescent="0.2">
      <c r="A18" s="188" t="s">
        <v>149</v>
      </c>
      <c r="B18" s="36"/>
      <c r="C18" s="34"/>
      <c r="D18" s="34"/>
      <c r="E18" s="54">
        <f>IF(E16="Ensilaje de Maiz",T50,IF(E16="Ensilaje 1",Q50, IF(E16="Ensilaje 2",R50,IF(E16="Ensilaje 3", S50,IF(E16="Mi Ensilaje",F20)))))</f>
        <v>2721.6</v>
      </c>
      <c r="F18" s="55" t="str">
        <f>IF(E16="Mi Ensilaje", " ", "Viene del Calculador de la Materia Seca del Ensilaje")</f>
        <v xml:space="preserve"> </v>
      </c>
      <c r="G18" s="198"/>
      <c r="H18" s="198"/>
      <c r="I18" s="33" t="s">
        <v>18</v>
      </c>
      <c r="J18" s="33" t="s">
        <v>18</v>
      </c>
      <c r="K18" s="33" t="s">
        <v>18</v>
      </c>
      <c r="L18" s="33" t="s">
        <v>18</v>
      </c>
      <c r="M18" s="33" t="s">
        <v>18</v>
      </c>
      <c r="N18" s="33" t="s">
        <v>18</v>
      </c>
      <c r="O18" s="33" t="s">
        <v>18</v>
      </c>
      <c r="P18" s="33" t="s">
        <v>18</v>
      </c>
      <c r="Q18" s="33" t="s">
        <v>18</v>
      </c>
      <c r="R18" s="33" t="s">
        <v>18</v>
      </c>
      <c r="S18" s="33" t="s">
        <v>18</v>
      </c>
      <c r="T18" s="33" t="s">
        <v>18</v>
      </c>
      <c r="U18" s="32"/>
    </row>
    <row r="19" spans="1:21" x14ac:dyDescent="0.2">
      <c r="A19" s="188"/>
      <c r="B19" s="36"/>
      <c r="C19" s="34"/>
      <c r="D19" s="34"/>
      <c r="E19" s="200"/>
      <c r="F19" s="55" t="str">
        <f>IF(E16="Mi Ensilaje", " ", "Cuadro, Hilera 50")</f>
        <v xml:space="preserve"> </v>
      </c>
      <c r="G19" s="198"/>
      <c r="H19" s="198"/>
      <c r="I19" s="31" t="s">
        <v>107</v>
      </c>
      <c r="J19" s="31"/>
      <c r="K19" s="31">
        <f>SUM(J20:J23)</f>
        <v>68</v>
      </c>
      <c r="L19" s="31"/>
      <c r="M19" s="31"/>
      <c r="N19" s="31"/>
      <c r="O19" s="31"/>
      <c r="P19" s="31"/>
      <c r="Q19" s="31"/>
      <c r="R19" s="31"/>
      <c r="S19" s="31"/>
      <c r="T19" s="31"/>
      <c r="U19" s="32"/>
    </row>
    <row r="20" spans="1:21" x14ac:dyDescent="0.2">
      <c r="A20" s="190" t="str">
        <f>IF(E16="Mi Ensilaje", "Mi Ensilaje, si no tomelo del Cuadro para Calcular la Materia Seca del Ensilaje (Hilera 50) (Kg MS/Hato-Dia) =", "  ")</f>
        <v>Mi Ensilaje, si no tomelo del Cuadro para Calcular la Materia Seca del Ensilaje (Hilera 50) (Kg MS/Hato-Dia) =</v>
      </c>
      <c r="B20" s="191"/>
      <c r="C20" s="191"/>
      <c r="D20" s="34"/>
      <c r="E20" s="52"/>
      <c r="F20" s="60">
        <v>2721.6</v>
      </c>
      <c r="G20" s="199" t="str">
        <f>IF(E16="Mi Ensilaje","Mi Ensilaje","   ")</f>
        <v>Mi Ensilaje</v>
      </c>
      <c r="H20" s="174"/>
      <c r="I20" s="38" t="s">
        <v>150</v>
      </c>
      <c r="J20" s="39">
        <v>8</v>
      </c>
      <c r="K20" s="53"/>
      <c r="L20" s="39">
        <v>0</v>
      </c>
      <c r="M20" s="39">
        <v>0</v>
      </c>
      <c r="N20" s="39">
        <v>9</v>
      </c>
      <c r="O20" s="39">
        <v>0</v>
      </c>
      <c r="P20" s="31"/>
      <c r="Q20" s="41">
        <f>L20*$J$20</f>
        <v>0</v>
      </c>
      <c r="R20" s="41">
        <f t="shared" ref="R20:T20" si="0">M20*$J$20</f>
        <v>0</v>
      </c>
      <c r="S20" s="41">
        <f t="shared" si="0"/>
        <v>72</v>
      </c>
      <c r="T20" s="41">
        <f t="shared" si="0"/>
        <v>0</v>
      </c>
      <c r="U20" s="32"/>
    </row>
    <row r="21" spans="1:21" x14ac:dyDescent="0.2">
      <c r="A21" s="188" t="s">
        <v>151</v>
      </c>
      <c r="B21" s="36"/>
      <c r="C21" s="34"/>
      <c r="D21" s="34"/>
      <c r="E21" s="62">
        <v>10</v>
      </c>
      <c r="F21" s="35"/>
      <c r="I21" s="38" t="s">
        <v>108</v>
      </c>
      <c r="J21" s="39">
        <v>22</v>
      </c>
      <c r="K21" s="53"/>
      <c r="L21" s="39">
        <v>0</v>
      </c>
      <c r="M21" s="39">
        <v>4.5</v>
      </c>
      <c r="N21" s="39">
        <v>6.8</v>
      </c>
      <c r="O21" s="39">
        <v>0</v>
      </c>
      <c r="P21" s="31"/>
      <c r="Q21" s="41">
        <f>L21*$J$21</f>
        <v>0</v>
      </c>
      <c r="R21" s="41">
        <f t="shared" ref="R21:T21" si="1">M21*$J$21</f>
        <v>99</v>
      </c>
      <c r="S21" s="41">
        <f t="shared" si="1"/>
        <v>149.6</v>
      </c>
      <c r="T21" s="41">
        <f t="shared" si="1"/>
        <v>0</v>
      </c>
      <c r="U21" s="32"/>
    </row>
    <row r="22" spans="1:21" x14ac:dyDescent="0.2">
      <c r="A22" s="188" t="s">
        <v>152</v>
      </c>
      <c r="B22" s="36"/>
      <c r="C22" s="34"/>
      <c r="D22" s="34"/>
      <c r="E22" s="52"/>
      <c r="F22" s="35"/>
      <c r="I22" s="38" t="s">
        <v>109</v>
      </c>
      <c r="J22" s="39">
        <v>22</v>
      </c>
      <c r="K22" s="53"/>
      <c r="L22" s="39">
        <v>0</v>
      </c>
      <c r="M22" s="39">
        <v>4.5</v>
      </c>
      <c r="N22" s="39">
        <v>6.8</v>
      </c>
      <c r="O22" s="39">
        <v>0</v>
      </c>
      <c r="P22" s="31"/>
      <c r="Q22" s="41">
        <f>L22*$J$22</f>
        <v>0</v>
      </c>
      <c r="R22" s="41">
        <f t="shared" ref="R22:T22" si="2">M22*$J$22</f>
        <v>99</v>
      </c>
      <c r="S22" s="41">
        <f t="shared" si="2"/>
        <v>149.6</v>
      </c>
      <c r="T22" s="41">
        <f t="shared" si="2"/>
        <v>0</v>
      </c>
      <c r="U22" s="32"/>
    </row>
    <row r="23" spans="1:21" x14ac:dyDescent="0.2">
      <c r="A23" s="188"/>
      <c r="B23" s="36"/>
      <c r="C23" s="34"/>
      <c r="D23" s="34"/>
      <c r="E23" s="52"/>
      <c r="F23" s="35"/>
      <c r="G23" s="63"/>
      <c r="H23" s="64"/>
      <c r="I23" s="38" t="s">
        <v>153</v>
      </c>
      <c r="J23" s="39">
        <v>16</v>
      </c>
      <c r="K23" s="53"/>
      <c r="L23" s="39">
        <v>0</v>
      </c>
      <c r="M23" s="39">
        <v>9</v>
      </c>
      <c r="N23" s="39">
        <v>0</v>
      </c>
      <c r="O23" s="39">
        <v>1.4</v>
      </c>
      <c r="P23" s="31"/>
      <c r="Q23" s="41">
        <f>L23*$J$23</f>
        <v>0</v>
      </c>
      <c r="R23" s="41">
        <f t="shared" ref="R23:T23" si="3">M23*$J$23</f>
        <v>144</v>
      </c>
      <c r="S23" s="41">
        <f t="shared" si="3"/>
        <v>0</v>
      </c>
      <c r="T23" s="41">
        <f t="shared" si="3"/>
        <v>22.4</v>
      </c>
      <c r="U23" s="32"/>
    </row>
    <row r="24" spans="1:21" x14ac:dyDescent="0.2">
      <c r="A24" s="188" t="s">
        <v>154</v>
      </c>
      <c r="B24" s="36"/>
      <c r="C24" s="34"/>
      <c r="D24" s="34"/>
      <c r="E24" s="62">
        <v>5</v>
      </c>
      <c r="F24" s="35"/>
      <c r="G24" s="63"/>
      <c r="H24" s="64"/>
      <c r="I24" s="31"/>
      <c r="J24" s="53"/>
      <c r="K24" s="40"/>
      <c r="L24" s="53"/>
      <c r="M24" s="53"/>
      <c r="N24" s="53"/>
      <c r="O24" s="53"/>
      <c r="P24" s="31"/>
      <c r="Q24" s="41"/>
      <c r="R24" s="41"/>
      <c r="S24" s="41"/>
      <c r="T24" s="41"/>
      <c r="U24" s="32"/>
    </row>
    <row r="25" spans="1:21" x14ac:dyDescent="0.2">
      <c r="A25" s="188" t="s">
        <v>155</v>
      </c>
      <c r="B25" s="36"/>
      <c r="C25" s="34"/>
      <c r="D25" s="34"/>
      <c r="E25" s="52"/>
      <c r="F25" s="35"/>
      <c r="G25" s="63"/>
      <c r="H25" s="64"/>
      <c r="I25" s="31" t="s">
        <v>156</v>
      </c>
      <c r="J25" s="39">
        <v>20</v>
      </c>
      <c r="K25" s="57">
        <f>J25</f>
        <v>20</v>
      </c>
      <c r="L25" s="39">
        <v>6.8</v>
      </c>
      <c r="M25" s="39">
        <v>4.5</v>
      </c>
      <c r="N25" s="39">
        <v>0</v>
      </c>
      <c r="O25" s="39">
        <v>1.4</v>
      </c>
      <c r="P25" s="31"/>
      <c r="Q25" s="41">
        <f>L25*$J$25</f>
        <v>136</v>
      </c>
      <c r="R25" s="41">
        <f t="shared" ref="R25:T25" si="4">M25*$J$25</f>
        <v>90</v>
      </c>
      <c r="S25" s="41">
        <f t="shared" si="4"/>
        <v>0</v>
      </c>
      <c r="T25" s="41">
        <f t="shared" si="4"/>
        <v>28</v>
      </c>
      <c r="U25" s="32"/>
    </row>
    <row r="26" spans="1:21" x14ac:dyDescent="0.2">
      <c r="A26" s="188"/>
      <c r="B26" s="36"/>
      <c r="C26" s="34"/>
      <c r="D26" s="34"/>
      <c r="E26" s="52"/>
      <c r="F26" s="35"/>
      <c r="G26" s="63"/>
      <c r="H26" s="66"/>
      <c r="I26" s="31"/>
      <c r="J26" s="53"/>
      <c r="K26" s="57"/>
      <c r="L26" s="53"/>
      <c r="M26" s="53"/>
      <c r="N26" s="53"/>
      <c r="O26" s="53"/>
      <c r="P26" s="31"/>
      <c r="Q26" s="41"/>
      <c r="R26" s="41"/>
      <c r="S26" s="41"/>
      <c r="T26" s="41"/>
      <c r="U26" s="32"/>
    </row>
    <row r="27" spans="1:21" x14ac:dyDescent="0.2">
      <c r="A27" s="189" t="s">
        <v>157</v>
      </c>
      <c r="B27" s="36"/>
      <c r="C27" s="34"/>
      <c r="D27" s="34"/>
      <c r="E27" s="62">
        <v>705</v>
      </c>
      <c r="F27" s="35"/>
      <c r="G27" s="63"/>
      <c r="H27" s="67"/>
      <c r="I27" s="31" t="s">
        <v>158</v>
      </c>
      <c r="J27" s="39">
        <v>6</v>
      </c>
      <c r="K27" s="57">
        <f>J27</f>
        <v>6</v>
      </c>
      <c r="L27" s="39">
        <v>4.5</v>
      </c>
      <c r="M27" s="39">
        <v>2.2999999999999998</v>
      </c>
      <c r="N27" s="39">
        <v>0</v>
      </c>
      <c r="O27" s="39">
        <v>4.5</v>
      </c>
      <c r="P27" s="31"/>
      <c r="Q27" s="41">
        <f>L27*$J27</f>
        <v>27</v>
      </c>
      <c r="R27" s="41">
        <f>M27*$J$27</f>
        <v>13.799999999999999</v>
      </c>
      <c r="S27" s="41">
        <f>N27*$J$27</f>
        <v>0</v>
      </c>
      <c r="T27" s="41">
        <f>O27*$J$27</f>
        <v>27</v>
      </c>
      <c r="U27" s="32"/>
    </row>
    <row r="28" spans="1:21" x14ac:dyDescent="0.2">
      <c r="A28" s="188"/>
      <c r="B28" s="36"/>
      <c r="C28" s="34"/>
      <c r="D28" s="34"/>
      <c r="E28" s="52"/>
      <c r="F28" s="35"/>
      <c r="G28" s="68"/>
      <c r="H28" s="67"/>
      <c r="I28" s="31"/>
      <c r="J28" s="53"/>
      <c r="K28" s="57"/>
      <c r="L28" s="53"/>
      <c r="M28" s="53"/>
      <c r="N28" s="53"/>
      <c r="O28" s="53"/>
      <c r="P28" s="31"/>
      <c r="Q28" s="41"/>
      <c r="R28" s="41"/>
      <c r="S28" s="41"/>
      <c r="T28" s="41"/>
      <c r="U28" s="32"/>
    </row>
    <row r="29" spans="1:21" x14ac:dyDescent="0.2">
      <c r="A29" s="188" t="s">
        <v>159</v>
      </c>
      <c r="B29" s="36"/>
      <c r="C29" s="34"/>
      <c r="D29" s="34"/>
      <c r="E29" s="62">
        <v>67</v>
      </c>
      <c r="F29" s="35"/>
      <c r="G29" s="63"/>
      <c r="H29" s="67"/>
      <c r="I29" s="31" t="s">
        <v>160</v>
      </c>
      <c r="J29" s="39">
        <v>110</v>
      </c>
      <c r="K29" s="57">
        <f>J29</f>
        <v>110</v>
      </c>
      <c r="L29" s="39">
        <v>4.5</v>
      </c>
      <c r="M29" s="39">
        <v>0</v>
      </c>
      <c r="N29" s="39">
        <v>0</v>
      </c>
      <c r="O29" s="39">
        <v>6.8</v>
      </c>
      <c r="P29" s="31"/>
      <c r="Q29" s="41">
        <f>L29*$J$29</f>
        <v>495</v>
      </c>
      <c r="R29" s="41">
        <f t="shared" ref="R29:T29" si="5">M29*$J$29</f>
        <v>0</v>
      </c>
      <c r="S29" s="41">
        <f t="shared" si="5"/>
        <v>0</v>
      </c>
      <c r="T29" s="41">
        <f t="shared" si="5"/>
        <v>748</v>
      </c>
      <c r="U29" s="32"/>
    </row>
    <row r="30" spans="1:21" x14ac:dyDescent="0.2">
      <c r="A30" s="188"/>
      <c r="B30" s="36"/>
      <c r="C30" s="34"/>
      <c r="D30" s="34"/>
      <c r="E30" s="52"/>
      <c r="F30" s="35"/>
      <c r="G30" s="70"/>
      <c r="H30" s="71"/>
      <c r="I30" s="31"/>
      <c r="J30" s="31"/>
      <c r="K30" s="57"/>
      <c r="L30" s="65"/>
      <c r="M30" s="65"/>
      <c r="N30" s="65"/>
      <c r="O30" s="65"/>
      <c r="P30" s="31"/>
      <c r="Q30" s="41"/>
      <c r="R30" s="41"/>
      <c r="S30" s="41"/>
      <c r="T30" s="41"/>
      <c r="U30" s="32"/>
    </row>
    <row r="31" spans="1:21" x14ac:dyDescent="0.2">
      <c r="A31" s="189" t="s">
        <v>161</v>
      </c>
      <c r="B31" s="36"/>
      <c r="C31" s="34"/>
      <c r="D31" s="34"/>
      <c r="E31" s="62">
        <v>0.30499999999999999</v>
      </c>
      <c r="F31" s="35"/>
      <c r="G31" s="74"/>
      <c r="H31" s="71"/>
      <c r="I31" s="31" t="s">
        <v>162</v>
      </c>
      <c r="J31" s="31"/>
      <c r="K31" s="57">
        <f>SUM(J32:J34)</f>
        <v>226</v>
      </c>
      <c r="L31" s="65"/>
      <c r="M31" s="65"/>
      <c r="N31" s="65"/>
      <c r="O31" s="65"/>
      <c r="P31" s="31"/>
      <c r="Q31" s="41"/>
      <c r="R31" s="41"/>
      <c r="S31" s="41"/>
      <c r="T31" s="41"/>
      <c r="U31" s="32"/>
    </row>
    <row r="32" spans="1:21" x14ac:dyDescent="0.2">
      <c r="A32" s="188"/>
      <c r="B32" s="36"/>
      <c r="C32" s="34"/>
      <c r="D32" s="34"/>
      <c r="E32" s="52"/>
      <c r="F32" s="35"/>
      <c r="H32" s="75"/>
      <c r="I32" s="38" t="s">
        <v>163</v>
      </c>
      <c r="J32" s="39">
        <v>90</v>
      </c>
      <c r="K32" s="40"/>
      <c r="L32" s="39">
        <v>4.5</v>
      </c>
      <c r="M32" s="39">
        <v>0</v>
      </c>
      <c r="N32" s="39">
        <v>0</v>
      </c>
      <c r="O32" s="39">
        <v>6.8</v>
      </c>
      <c r="P32" s="31"/>
      <c r="Q32" s="41">
        <f>L32*$J$32</f>
        <v>405</v>
      </c>
      <c r="R32" s="41">
        <f t="shared" ref="R32:T32" si="6">M32*$J$32</f>
        <v>0</v>
      </c>
      <c r="S32" s="41">
        <f t="shared" si="6"/>
        <v>0</v>
      </c>
      <c r="T32" s="41">
        <f t="shared" si="6"/>
        <v>612</v>
      </c>
      <c r="U32" s="32"/>
    </row>
    <row r="33" spans="1:21" x14ac:dyDescent="0.2">
      <c r="A33" s="192" t="s">
        <v>164</v>
      </c>
      <c r="B33" s="36"/>
      <c r="C33" s="34"/>
      <c r="D33" s="34"/>
      <c r="E33" s="62">
        <v>360</v>
      </c>
      <c r="F33" s="35"/>
      <c r="I33" s="38" t="s">
        <v>165</v>
      </c>
      <c r="J33" s="39">
        <v>68</v>
      </c>
      <c r="K33" s="40"/>
      <c r="L33" s="39">
        <v>6.8</v>
      </c>
      <c r="M33" s="39">
        <v>2.2999999999999998</v>
      </c>
      <c r="N33" s="39">
        <v>0</v>
      </c>
      <c r="O33" s="39">
        <v>4.5</v>
      </c>
      <c r="P33" s="31"/>
      <c r="Q33" s="41">
        <f>L33*$J$33</f>
        <v>462.4</v>
      </c>
      <c r="R33" s="41">
        <f t="shared" ref="R33:T33" si="7">M33*$J$33</f>
        <v>156.39999999999998</v>
      </c>
      <c r="S33" s="41">
        <f t="shared" si="7"/>
        <v>0</v>
      </c>
      <c r="T33" s="41">
        <f t="shared" si="7"/>
        <v>306</v>
      </c>
      <c r="U33" s="32"/>
    </row>
    <row r="34" spans="1:21" x14ac:dyDescent="0.2">
      <c r="A34" s="188"/>
      <c r="B34" s="36"/>
      <c r="C34" s="34"/>
      <c r="D34" s="34"/>
      <c r="E34" s="52"/>
      <c r="F34" s="35"/>
      <c r="I34" s="38" t="s">
        <v>166</v>
      </c>
      <c r="J34" s="39">
        <v>68</v>
      </c>
      <c r="K34" s="40"/>
      <c r="L34" s="39">
        <v>4.5</v>
      </c>
      <c r="M34" s="39">
        <v>4.5</v>
      </c>
      <c r="N34" s="39">
        <v>0</v>
      </c>
      <c r="O34" s="39">
        <v>4.5</v>
      </c>
      <c r="P34" s="31"/>
      <c r="Q34" s="41">
        <f>L34*$J$34</f>
        <v>306</v>
      </c>
      <c r="R34" s="41">
        <f t="shared" ref="R34:T34" si="8">M34*$J$34</f>
        <v>306</v>
      </c>
      <c r="S34" s="41">
        <f t="shared" si="8"/>
        <v>0</v>
      </c>
      <c r="T34" s="41">
        <f t="shared" si="8"/>
        <v>306</v>
      </c>
      <c r="U34" s="32"/>
    </row>
    <row r="35" spans="1:21" x14ac:dyDescent="0.2">
      <c r="A35" s="192" t="s">
        <v>167</v>
      </c>
      <c r="B35" s="191"/>
      <c r="C35" s="193"/>
      <c r="D35" s="191"/>
      <c r="E35" s="9">
        <v>3</v>
      </c>
      <c r="F35" s="35"/>
      <c r="I35" s="31"/>
      <c r="J35" s="31"/>
      <c r="K35" s="57"/>
      <c r="L35" s="65"/>
      <c r="M35" s="65"/>
      <c r="N35" s="65"/>
      <c r="O35" s="65"/>
      <c r="P35" s="31"/>
      <c r="Q35" s="41"/>
      <c r="R35" s="41"/>
      <c r="S35" s="41"/>
      <c r="T35" s="41"/>
      <c r="U35" s="32"/>
    </row>
    <row r="36" spans="1:21" x14ac:dyDescent="0.2">
      <c r="A36" s="192" t="s">
        <v>168</v>
      </c>
      <c r="B36" s="191"/>
      <c r="C36" s="193"/>
      <c r="D36" s="191"/>
      <c r="E36" s="95"/>
      <c r="F36" s="35"/>
      <c r="I36" s="31" t="s">
        <v>169</v>
      </c>
      <c r="J36" s="39">
        <v>10</v>
      </c>
      <c r="K36" s="69">
        <f>J36</f>
        <v>10</v>
      </c>
      <c r="L36" s="39">
        <v>11.3</v>
      </c>
      <c r="M36" s="39">
        <v>2.2999999999999998</v>
      </c>
      <c r="N36" s="39">
        <v>0</v>
      </c>
      <c r="O36" s="39">
        <v>2.2999999999999998</v>
      </c>
      <c r="P36" s="31"/>
      <c r="Q36" s="41">
        <f>L36*$J$36</f>
        <v>113</v>
      </c>
      <c r="R36" s="41">
        <f t="shared" ref="R36:T36" si="9">M36*$J$36</f>
        <v>23</v>
      </c>
      <c r="S36" s="41">
        <f t="shared" si="9"/>
        <v>0</v>
      </c>
      <c r="T36" s="41">
        <f t="shared" si="9"/>
        <v>23</v>
      </c>
      <c r="U36" s="32"/>
    </row>
    <row r="37" spans="1:21" x14ac:dyDescent="0.2">
      <c r="A37" s="191"/>
      <c r="B37" s="191"/>
      <c r="C37" s="193"/>
      <c r="D37" s="191"/>
      <c r="E37" s="95"/>
      <c r="F37" s="77"/>
      <c r="I37" s="33" t="s">
        <v>52</v>
      </c>
      <c r="J37" s="33" t="s">
        <v>52</v>
      </c>
      <c r="K37" s="73" t="s">
        <v>52</v>
      </c>
      <c r="L37" s="33" t="s">
        <v>52</v>
      </c>
      <c r="M37" s="33" t="s">
        <v>52</v>
      </c>
      <c r="N37" s="33" t="s">
        <v>52</v>
      </c>
      <c r="O37" s="33" t="s">
        <v>52</v>
      </c>
      <c r="P37" s="33" t="s">
        <v>52</v>
      </c>
      <c r="Q37" s="33" t="s">
        <v>52</v>
      </c>
      <c r="R37" s="33" t="s">
        <v>52</v>
      </c>
      <c r="S37" s="33" t="s">
        <v>52</v>
      </c>
      <c r="T37" s="33" t="s">
        <v>52</v>
      </c>
      <c r="U37" s="32"/>
    </row>
    <row r="38" spans="1:21" x14ac:dyDescent="0.2">
      <c r="A38" s="194" t="s">
        <v>276</v>
      </c>
      <c r="B38" s="191"/>
      <c r="C38" s="193"/>
      <c r="D38" s="191"/>
      <c r="E38" s="9">
        <v>3</v>
      </c>
      <c r="F38" s="59"/>
      <c r="I38" s="31" t="s">
        <v>170</v>
      </c>
      <c r="J38" s="31" t="s">
        <v>27</v>
      </c>
      <c r="K38" s="57">
        <f>SUM(K18:K36)</f>
        <v>440</v>
      </c>
      <c r="L38" s="31"/>
      <c r="M38" s="31"/>
      <c r="N38" s="31"/>
      <c r="O38" s="31"/>
      <c r="P38" s="31"/>
      <c r="Q38" s="31"/>
      <c r="R38" s="31"/>
      <c r="S38" s="31"/>
      <c r="T38" s="31"/>
      <c r="U38" s="32"/>
    </row>
    <row r="39" spans="1:21" x14ac:dyDescent="0.2">
      <c r="A39" s="192" t="s">
        <v>171</v>
      </c>
      <c r="B39" s="191"/>
      <c r="C39" s="193"/>
      <c r="D39" s="191"/>
      <c r="E39" s="96"/>
      <c r="F39" s="44"/>
      <c r="I39" s="76"/>
      <c r="J39" s="31"/>
      <c r="K39" s="57"/>
      <c r="L39" s="31"/>
      <c r="M39" s="31"/>
      <c r="N39" s="31"/>
      <c r="O39" s="31"/>
      <c r="P39" s="31"/>
      <c r="Q39" s="31"/>
      <c r="R39" s="31"/>
      <c r="S39" s="31"/>
      <c r="T39" s="31"/>
      <c r="U39" s="32"/>
    </row>
    <row r="40" spans="1:21" x14ac:dyDescent="0.2">
      <c r="A40" s="195"/>
      <c r="B40" s="98"/>
      <c r="C40" s="46"/>
      <c r="D40" s="46"/>
      <c r="E40" s="101"/>
      <c r="F40" s="101"/>
      <c r="I40" s="31" t="s">
        <v>172</v>
      </c>
      <c r="J40" s="31"/>
      <c r="K40" s="57"/>
      <c r="L40" s="31"/>
      <c r="M40" s="31"/>
      <c r="N40" s="31"/>
      <c r="O40" s="31"/>
      <c r="P40" s="31"/>
      <c r="Q40" s="31"/>
      <c r="R40" s="31"/>
      <c r="S40" s="31"/>
      <c r="T40" s="31"/>
      <c r="U40" s="32"/>
    </row>
    <row r="41" spans="1:21" x14ac:dyDescent="0.2">
      <c r="A41" s="192" t="s">
        <v>173</v>
      </c>
      <c r="B41" s="191"/>
      <c r="C41" s="196"/>
      <c r="D41" s="191"/>
      <c r="E41" s="10">
        <v>3.05</v>
      </c>
      <c r="F41" s="102"/>
      <c r="I41" s="38" t="s">
        <v>110</v>
      </c>
      <c r="J41" s="39">
        <v>48</v>
      </c>
      <c r="K41" s="40"/>
      <c r="L41" s="39">
        <v>1.4</v>
      </c>
      <c r="M41" s="39">
        <v>0</v>
      </c>
      <c r="N41" s="39">
        <v>0</v>
      </c>
      <c r="O41" s="39">
        <v>0.9</v>
      </c>
      <c r="P41" s="31"/>
      <c r="Q41" s="41">
        <f>L41*$J$41</f>
        <v>67.199999999999989</v>
      </c>
      <c r="R41" s="41">
        <f t="shared" ref="R41:T41" si="10">M41*$J$41</f>
        <v>0</v>
      </c>
      <c r="S41" s="41">
        <f t="shared" si="10"/>
        <v>0</v>
      </c>
      <c r="T41" s="41">
        <f t="shared" si="10"/>
        <v>43.2</v>
      </c>
      <c r="U41" s="32"/>
    </row>
    <row r="42" spans="1:21" x14ac:dyDescent="0.2">
      <c r="A42" s="192" t="s">
        <v>174</v>
      </c>
      <c r="B42" s="191"/>
      <c r="C42" s="196"/>
      <c r="D42" s="196"/>
      <c r="E42" s="96" t="s">
        <v>0</v>
      </c>
      <c r="F42" s="102"/>
      <c r="I42" s="38" t="s">
        <v>111</v>
      </c>
      <c r="J42" s="39">
        <v>48</v>
      </c>
      <c r="K42" s="40"/>
      <c r="L42" s="39">
        <v>2.2999999999999998</v>
      </c>
      <c r="M42" s="39">
        <v>0</v>
      </c>
      <c r="N42" s="39">
        <v>0</v>
      </c>
      <c r="O42" s="39">
        <v>1.4</v>
      </c>
      <c r="P42" s="31"/>
      <c r="Q42" s="41">
        <f>L42*$J$42</f>
        <v>110.39999999999999</v>
      </c>
      <c r="R42" s="41">
        <f t="shared" ref="R42:T42" si="11">M42*$J$42</f>
        <v>0</v>
      </c>
      <c r="S42" s="41">
        <f t="shared" si="11"/>
        <v>0</v>
      </c>
      <c r="T42" s="41">
        <f t="shared" si="11"/>
        <v>67.199999999999989</v>
      </c>
      <c r="U42" s="32"/>
    </row>
    <row r="43" spans="1:21" x14ac:dyDescent="0.2">
      <c r="A43" s="197"/>
      <c r="B43" s="84"/>
      <c r="C43" s="82"/>
      <c r="D43" s="82"/>
      <c r="E43" s="83"/>
      <c r="F43" s="83"/>
      <c r="I43" s="38" t="s">
        <v>112</v>
      </c>
      <c r="J43" s="39">
        <v>72</v>
      </c>
      <c r="K43" s="40"/>
      <c r="L43" s="39">
        <v>1.8</v>
      </c>
      <c r="M43" s="39">
        <v>0.9</v>
      </c>
      <c r="N43" s="39">
        <v>0</v>
      </c>
      <c r="O43" s="39">
        <v>2.2999999999999998</v>
      </c>
      <c r="P43" s="31"/>
      <c r="Q43" s="41">
        <f>L43*$J$43</f>
        <v>129.6</v>
      </c>
      <c r="R43" s="41">
        <f t="shared" ref="R43:T43" si="12">M43*$J$43</f>
        <v>64.8</v>
      </c>
      <c r="S43" s="41">
        <f t="shared" si="12"/>
        <v>0</v>
      </c>
      <c r="T43" s="41">
        <f t="shared" si="12"/>
        <v>165.6</v>
      </c>
      <c r="U43" s="32"/>
    </row>
    <row r="44" spans="1:21" x14ac:dyDescent="0.2">
      <c r="A44" s="32"/>
      <c r="B44" s="32"/>
      <c r="C44" s="21"/>
      <c r="D44" s="21"/>
      <c r="E44" s="1"/>
      <c r="G44" s="49"/>
      <c r="I44" s="38" t="s">
        <v>113</v>
      </c>
      <c r="J44" s="39">
        <v>48</v>
      </c>
      <c r="K44" s="40"/>
      <c r="L44" s="39">
        <v>1.8</v>
      </c>
      <c r="M44" s="39">
        <v>1.8</v>
      </c>
      <c r="N44" s="39">
        <v>0</v>
      </c>
      <c r="O44" s="39">
        <v>2.7</v>
      </c>
      <c r="P44" s="31"/>
      <c r="Q44" s="41">
        <f>L44*$J$44</f>
        <v>86.4</v>
      </c>
      <c r="R44" s="41">
        <f t="shared" ref="R44:T44" si="13">M44*$J$44</f>
        <v>86.4</v>
      </c>
      <c r="S44" s="41">
        <f t="shared" si="13"/>
        <v>0</v>
      </c>
      <c r="T44" s="41">
        <f t="shared" si="13"/>
        <v>129.60000000000002</v>
      </c>
      <c r="U44" s="32"/>
    </row>
    <row r="45" spans="1:21" x14ac:dyDescent="0.2">
      <c r="C45" s="1"/>
      <c r="D45" s="22"/>
      <c r="E45" s="1"/>
      <c r="I45" s="38" t="s">
        <v>175</v>
      </c>
      <c r="J45" s="39">
        <v>156</v>
      </c>
      <c r="K45" s="40"/>
      <c r="L45" s="39">
        <v>3.2</v>
      </c>
      <c r="M45" s="39">
        <v>1.8</v>
      </c>
      <c r="N45" s="39">
        <v>0</v>
      </c>
      <c r="O45" s="39">
        <v>4.0999999999999996</v>
      </c>
      <c r="P45" s="31"/>
      <c r="Q45" s="41">
        <f>L45*$J$45</f>
        <v>499.20000000000005</v>
      </c>
      <c r="R45" s="41">
        <f t="shared" ref="R45:T45" si="14">M45*$J$45</f>
        <v>280.8</v>
      </c>
      <c r="S45" s="41">
        <f t="shared" si="14"/>
        <v>0</v>
      </c>
      <c r="T45" s="41">
        <f t="shared" si="14"/>
        <v>639.59999999999991</v>
      </c>
      <c r="U45" s="32"/>
    </row>
    <row r="46" spans="1:21" ht="18" x14ac:dyDescent="0.25">
      <c r="A46" s="154" t="s">
        <v>176</v>
      </c>
      <c r="B46" s="155"/>
      <c r="C46" s="156"/>
      <c r="D46" s="155"/>
      <c r="E46" s="155"/>
      <c r="G46" s="79"/>
      <c r="H46" s="32"/>
      <c r="I46" s="33" t="s">
        <v>18</v>
      </c>
      <c r="J46" s="33" t="s">
        <v>18</v>
      </c>
      <c r="K46" s="73" t="s">
        <v>18</v>
      </c>
      <c r="L46" s="33" t="s">
        <v>18</v>
      </c>
      <c r="M46" s="33" t="s">
        <v>18</v>
      </c>
      <c r="N46" s="33" t="s">
        <v>18</v>
      </c>
      <c r="O46" s="33" t="s">
        <v>18</v>
      </c>
      <c r="P46" s="33" t="s">
        <v>18</v>
      </c>
      <c r="Q46" s="33" t="s">
        <v>18</v>
      </c>
      <c r="R46" s="33" t="s">
        <v>18</v>
      </c>
      <c r="S46" s="33" t="s">
        <v>18</v>
      </c>
      <c r="T46" s="33" t="s">
        <v>18</v>
      </c>
      <c r="U46" s="32"/>
    </row>
    <row r="47" spans="1:21" x14ac:dyDescent="0.2">
      <c r="A47" s="157" t="s">
        <v>83</v>
      </c>
      <c r="B47" s="155"/>
      <c r="C47" s="156"/>
      <c r="D47" s="155"/>
      <c r="E47" s="155"/>
      <c r="G47" s="80"/>
      <c r="H47" s="32"/>
      <c r="I47" s="31" t="s">
        <v>172</v>
      </c>
      <c r="J47" s="31" t="s">
        <v>27</v>
      </c>
      <c r="K47" s="57">
        <f>SUM(J41:J45)</f>
        <v>372</v>
      </c>
      <c r="L47" s="31"/>
      <c r="M47" s="31"/>
      <c r="N47" s="31"/>
      <c r="O47" s="31"/>
      <c r="P47" s="31"/>
      <c r="Q47" s="31"/>
      <c r="R47" s="31"/>
      <c r="S47" s="31"/>
      <c r="T47" s="31"/>
      <c r="U47" s="32"/>
    </row>
    <row r="48" spans="1:21" ht="15.75" x14ac:dyDescent="0.25">
      <c r="A48" s="158" t="s">
        <v>177</v>
      </c>
      <c r="B48" s="155"/>
      <c r="C48" s="159"/>
      <c r="D48" s="159"/>
      <c r="E48" s="160">
        <f>(E75)+2*(E35*E41/2)</f>
        <v>21.725392838076743</v>
      </c>
      <c r="G48" s="81"/>
      <c r="H48" s="32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2"/>
    </row>
    <row r="49" spans="1:23" x14ac:dyDescent="0.2">
      <c r="A49" s="155"/>
      <c r="B49" s="155"/>
      <c r="C49" s="156"/>
      <c r="D49" s="156"/>
      <c r="E49" s="161"/>
      <c r="G49" s="81"/>
      <c r="H49" s="32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2"/>
    </row>
    <row r="50" spans="1:23" ht="15.75" x14ac:dyDescent="0.25">
      <c r="A50" s="158" t="s">
        <v>178</v>
      </c>
      <c r="B50" s="155"/>
      <c r="C50" s="162"/>
      <c r="D50" s="155"/>
      <c r="E50" s="163">
        <f>IF((E75)-2*(E35*E41/2) &gt;=0,E75-2*(E35*E41/2), "Select a Shorter Pile Height-cell E41")</f>
        <v>3.4253928380767444</v>
      </c>
      <c r="G50" s="81"/>
      <c r="H50" s="32"/>
      <c r="I50" s="31"/>
      <c r="J50" s="31"/>
      <c r="K50" s="31"/>
      <c r="L50" s="31"/>
      <c r="M50" s="31"/>
      <c r="N50" s="31" t="s">
        <v>179</v>
      </c>
      <c r="O50" s="121"/>
      <c r="P50" s="31"/>
      <c r="Q50" s="78">
        <f>SUM(Q20:Q45)</f>
        <v>2837.2</v>
      </c>
      <c r="R50" s="78">
        <f>SUM(R20:R45)</f>
        <v>1363.2</v>
      </c>
      <c r="S50" s="78">
        <f>SUM(S20:S45)</f>
        <v>371.2</v>
      </c>
      <c r="T50" s="78">
        <f>SUM(T20:T45)</f>
        <v>3117.5999999999995</v>
      </c>
      <c r="U50" s="32"/>
    </row>
    <row r="51" spans="1:23" ht="15.75" x14ac:dyDescent="0.25">
      <c r="A51" s="155"/>
      <c r="B51" s="155"/>
      <c r="C51" s="156"/>
      <c r="D51" s="155"/>
      <c r="E51" s="155"/>
      <c r="F51" s="86"/>
    </row>
    <row r="52" spans="1:23" ht="18" x14ac:dyDescent="0.25">
      <c r="A52" s="158" t="s">
        <v>180</v>
      </c>
      <c r="B52" s="155"/>
      <c r="C52" s="164"/>
      <c r="D52" s="165"/>
      <c r="E52" s="166">
        <f>(E33*(E31))+2*(E38*E41/2)</f>
        <v>118.94999999999999</v>
      </c>
      <c r="F52" s="27"/>
      <c r="L52" s="27" t="str">
        <f>IF(E52 &gt; 60,"Hay Ventajas de tener Varios Montículos cuando lo Largo de la base es mayor a 60 metros.",  " ")</f>
        <v>Hay Ventajas de tener Varios Montículos cuando lo Largo de la base es mayor a 60 metros.</v>
      </c>
      <c r="T52" s="32"/>
      <c r="U52" s="32"/>
      <c r="V52" s="32"/>
      <c r="W52" s="32"/>
    </row>
    <row r="53" spans="1:23" ht="18" x14ac:dyDescent="0.25">
      <c r="A53" s="155"/>
      <c r="B53" s="155"/>
      <c r="C53" s="161"/>
      <c r="D53" s="155"/>
      <c r="E53" s="161"/>
      <c r="L53" s="27" t="str">
        <f>IF(E52&gt;60, "Considere estar dividiendo el Nύmero de días que esta alimentando (Celda E33) entre 2 o 3 y use todos esos Montículos", " ")</f>
        <v>Considere estar dividiendo el Nύmero de días que esta alimentando (Celda E33) entre 2 o 3 y use todos esos Montículos</v>
      </c>
      <c r="T53" s="32"/>
      <c r="U53" s="32"/>
      <c r="V53" s="32"/>
      <c r="W53" s="32"/>
    </row>
    <row r="54" spans="1:23" ht="15.75" x14ac:dyDescent="0.25">
      <c r="A54" s="158" t="s">
        <v>181</v>
      </c>
      <c r="B54" s="155"/>
      <c r="C54" s="167"/>
      <c r="D54" s="155"/>
      <c r="E54" s="168">
        <f>IF((E76)-2*(E38*E41/2) &gt;=0,E76-2*(E38*E41/2), "Select a Shorter Pile Height-cell E41")</f>
        <v>100.65</v>
      </c>
      <c r="F54" s="5"/>
      <c r="T54" s="32"/>
      <c r="U54" s="32"/>
      <c r="V54" s="32"/>
      <c r="W54" s="32"/>
    </row>
    <row r="55" spans="1:23" x14ac:dyDescent="0.2">
      <c r="A55" s="155"/>
      <c r="B55" s="155"/>
      <c r="C55" s="156"/>
      <c r="D55" s="155"/>
      <c r="E55" s="155"/>
      <c r="T55" s="32"/>
      <c r="U55" s="32"/>
      <c r="V55" s="32"/>
      <c r="W55" s="32"/>
    </row>
    <row r="56" spans="1:23" ht="15.75" x14ac:dyDescent="0.25">
      <c r="A56" s="158" t="s">
        <v>182</v>
      </c>
      <c r="B56" s="155"/>
      <c r="C56" s="156"/>
      <c r="D56" s="156"/>
      <c r="E56" s="169">
        <f>E18*E33/1000</f>
        <v>979.77599999999995</v>
      </c>
    </row>
    <row r="57" spans="1:23" ht="15.75" x14ac:dyDescent="0.25">
      <c r="A57" s="158"/>
      <c r="B57" s="155"/>
      <c r="C57" s="156"/>
      <c r="D57" s="156"/>
      <c r="E57" s="170"/>
    </row>
    <row r="58" spans="1:23" ht="15.75" x14ac:dyDescent="0.25">
      <c r="A58" s="158" t="s">
        <v>183</v>
      </c>
      <c r="B58" s="155"/>
      <c r="C58" s="156"/>
      <c r="D58" s="156"/>
      <c r="E58" s="169">
        <f>E56/(1-E29/100)</f>
        <v>2969.0181818181823</v>
      </c>
      <c r="G58" s="32"/>
      <c r="H58" s="32"/>
    </row>
    <row r="59" spans="1:23" ht="15.75" x14ac:dyDescent="0.25">
      <c r="A59" s="158"/>
      <c r="B59" s="155"/>
      <c r="C59" s="156"/>
      <c r="D59" s="156"/>
      <c r="E59" s="170"/>
      <c r="G59" s="5"/>
    </row>
    <row r="60" spans="1:23" ht="15.75" x14ac:dyDescent="0.25">
      <c r="A60" s="158" t="s">
        <v>184</v>
      </c>
      <c r="B60" s="155"/>
      <c r="C60" s="156"/>
      <c r="D60" s="156"/>
      <c r="E60" s="169">
        <f>E56/(1-((E21+E24)/100))</f>
        <v>1152.6776470588236</v>
      </c>
    </row>
    <row r="61" spans="1:23" ht="15.75" x14ac:dyDescent="0.25">
      <c r="A61" s="158"/>
      <c r="B61" s="155"/>
      <c r="C61" s="171"/>
      <c r="D61" s="156"/>
      <c r="E61" s="170"/>
    </row>
    <row r="62" spans="1:23" ht="15.75" x14ac:dyDescent="0.25">
      <c r="A62" s="158" t="s">
        <v>185</v>
      </c>
      <c r="B62" s="155"/>
      <c r="C62" s="156"/>
      <c r="D62" s="156"/>
      <c r="E62" s="169">
        <f>E58/(1-((E21+E24)/100))</f>
        <v>3492.9625668449203</v>
      </c>
    </row>
    <row r="63" spans="1:23" x14ac:dyDescent="0.2">
      <c r="A63" s="155"/>
      <c r="B63" s="155"/>
      <c r="C63" s="156"/>
      <c r="D63" s="155"/>
      <c r="E63" s="155"/>
      <c r="G63" s="83"/>
      <c r="H63" s="83"/>
      <c r="I63" s="81"/>
      <c r="J63" s="32"/>
      <c r="K63" s="32"/>
      <c r="L63" s="32"/>
      <c r="M63" s="87"/>
      <c r="N63" s="32"/>
      <c r="O63" s="32"/>
      <c r="P63" s="32"/>
    </row>
    <row r="64" spans="1:23" ht="15" x14ac:dyDescent="0.2">
      <c r="A64" s="172" t="s">
        <v>254</v>
      </c>
      <c r="B64" s="155"/>
      <c r="C64" s="156"/>
      <c r="D64" s="155"/>
      <c r="E64" s="155"/>
      <c r="G64" s="83"/>
      <c r="H64" s="83"/>
      <c r="I64" s="81"/>
      <c r="J64" s="32"/>
      <c r="K64" s="32"/>
      <c r="L64" s="32"/>
      <c r="M64" s="87"/>
      <c r="N64" s="32"/>
      <c r="O64" s="32"/>
      <c r="P64" s="32"/>
    </row>
    <row r="65" spans="1:19" ht="15.75" x14ac:dyDescent="0.25">
      <c r="A65" s="173" t="s">
        <v>271</v>
      </c>
      <c r="B65" s="174"/>
      <c r="C65" s="22"/>
      <c r="D65" s="174"/>
      <c r="E65" s="174"/>
      <c r="G65" s="83"/>
      <c r="H65" s="83"/>
      <c r="I65" s="81"/>
      <c r="J65" s="32"/>
      <c r="K65" s="32"/>
      <c r="L65" s="92">
        <f>E50</f>
        <v>3.4253928380767444</v>
      </c>
      <c r="M65" s="92" t="s">
        <v>16</v>
      </c>
      <c r="N65" s="143"/>
      <c r="O65" s="32"/>
      <c r="P65" s="32"/>
      <c r="S65" s="32"/>
    </row>
    <row r="66" spans="1:19" x14ac:dyDescent="0.2">
      <c r="A66" s="173" t="s">
        <v>272</v>
      </c>
      <c r="B66" s="174"/>
      <c r="C66" s="22"/>
      <c r="D66" s="174"/>
      <c r="E66" s="174"/>
      <c r="G66" s="1"/>
      <c r="H66" t="s">
        <v>0</v>
      </c>
      <c r="S66" s="32"/>
    </row>
    <row r="67" spans="1:19" x14ac:dyDescent="0.2">
      <c r="A67" s="174"/>
      <c r="B67" s="174"/>
      <c r="C67" s="22"/>
      <c r="D67" s="174"/>
      <c r="E67" s="174"/>
      <c r="G67" s="1"/>
      <c r="S67" s="32"/>
    </row>
    <row r="68" spans="1:19" x14ac:dyDescent="0.2">
      <c r="A68" s="174"/>
      <c r="B68" s="174"/>
      <c r="C68" s="22"/>
      <c r="D68" s="174"/>
      <c r="E68" s="174"/>
      <c r="G68" s="1"/>
    </row>
    <row r="69" spans="1:19" ht="15.75" x14ac:dyDescent="0.25">
      <c r="A69" s="174"/>
      <c r="B69" s="174"/>
      <c r="C69" s="22"/>
      <c r="D69" s="175"/>
      <c r="E69" s="174"/>
      <c r="G69" s="1"/>
      <c r="O69" s="13">
        <f>E35</f>
        <v>3</v>
      </c>
      <c r="P69" s="106"/>
    </row>
    <row r="70" spans="1:19" x14ac:dyDescent="0.2">
      <c r="A70" s="174"/>
      <c r="B70" s="174"/>
      <c r="C70" s="176"/>
      <c r="D70" s="22"/>
      <c r="E70" s="22"/>
      <c r="G70" s="1"/>
    </row>
    <row r="71" spans="1:19" x14ac:dyDescent="0.2">
      <c r="A71" s="177"/>
      <c r="B71" s="177"/>
      <c r="C71" s="178"/>
      <c r="D71" s="87"/>
      <c r="E71" s="178"/>
      <c r="G71" s="1"/>
    </row>
    <row r="72" spans="1:19" x14ac:dyDescent="0.2">
      <c r="A72" s="179" t="s">
        <v>256</v>
      </c>
      <c r="B72" s="174"/>
      <c r="C72" s="176"/>
      <c r="D72" s="176"/>
      <c r="E72" s="180">
        <f>E27*(100-E29)/100</f>
        <v>232.65</v>
      </c>
      <c r="G72" s="1"/>
    </row>
    <row r="73" spans="1:19" ht="15.75" x14ac:dyDescent="0.25">
      <c r="A73" s="179" t="s">
        <v>186</v>
      </c>
      <c r="B73" s="174"/>
      <c r="C73" s="176"/>
      <c r="D73" s="176"/>
      <c r="E73" s="180">
        <f>E18/E72</f>
        <v>11.69825918762089</v>
      </c>
      <c r="G73" s="124"/>
      <c r="H73" s="86"/>
    </row>
    <row r="74" spans="1:19" ht="15.75" x14ac:dyDescent="0.25">
      <c r="A74" s="173" t="s">
        <v>273</v>
      </c>
      <c r="B74" s="174"/>
      <c r="C74" s="176"/>
      <c r="D74" s="176"/>
      <c r="E74" s="180">
        <f>E73/(E31)</f>
        <v>38.354948156134064</v>
      </c>
      <c r="G74" s="92">
        <f>E41</f>
        <v>3.05</v>
      </c>
      <c r="H74" s="91" t="s">
        <v>103</v>
      </c>
      <c r="I74" s="125"/>
      <c r="J74" s="86"/>
    </row>
    <row r="75" spans="1:19" ht="15.75" x14ac:dyDescent="0.25">
      <c r="A75" s="179" t="s">
        <v>187</v>
      </c>
      <c r="B75" s="174"/>
      <c r="C75" s="176"/>
      <c r="D75" s="176"/>
      <c r="E75" s="180">
        <f>E74/E41</f>
        <v>12.575392838076743</v>
      </c>
      <c r="G75" s="1"/>
      <c r="H75" s="92">
        <f>G74/2</f>
        <v>1.5249999999999999</v>
      </c>
      <c r="I75" s="91" t="s">
        <v>104</v>
      </c>
    </row>
    <row r="76" spans="1:19" x14ac:dyDescent="0.2">
      <c r="A76" s="173" t="s">
        <v>188</v>
      </c>
      <c r="B76" s="179"/>
      <c r="C76" s="181"/>
      <c r="D76" s="174"/>
      <c r="E76" s="182">
        <f>E33*(E31)</f>
        <v>109.8</v>
      </c>
      <c r="G76" s="1"/>
    </row>
    <row r="77" spans="1:19" x14ac:dyDescent="0.2">
      <c r="A77" s="174"/>
      <c r="B77" s="174"/>
      <c r="C77" s="22"/>
      <c r="D77" s="174"/>
      <c r="E77" s="174"/>
      <c r="G77" s="4"/>
    </row>
    <row r="78" spans="1:19" x14ac:dyDescent="0.2">
      <c r="A78" s="174"/>
      <c r="B78" s="174"/>
      <c r="C78" s="176"/>
      <c r="D78" s="22"/>
      <c r="E78" s="174"/>
      <c r="G78" s="4"/>
    </row>
    <row r="79" spans="1:19" x14ac:dyDescent="0.2">
      <c r="A79" s="174"/>
      <c r="B79" s="174"/>
      <c r="C79" s="22"/>
      <c r="D79" s="174"/>
      <c r="E79" s="174"/>
      <c r="G79" s="1"/>
    </row>
    <row r="80" spans="1:19" x14ac:dyDescent="0.2">
      <c r="A80" s="174"/>
      <c r="B80" s="174"/>
      <c r="C80" s="22"/>
      <c r="D80" s="174"/>
      <c r="E80" s="174"/>
      <c r="G80" s="1"/>
    </row>
    <row r="81" spans="3:14" x14ac:dyDescent="0.2">
      <c r="C81" s="1"/>
      <c r="G81" s="1"/>
    </row>
    <row r="82" spans="3:14" x14ac:dyDescent="0.2">
      <c r="C82" s="1"/>
      <c r="G82" s="1"/>
    </row>
    <row r="83" spans="3:14" ht="15.75" x14ac:dyDescent="0.25">
      <c r="C83" s="1"/>
      <c r="G83" s="1"/>
      <c r="L83" s="92">
        <f>E48</f>
        <v>21.725392838076743</v>
      </c>
      <c r="M83" s="13" t="s">
        <v>16</v>
      </c>
      <c r="N83" s="143"/>
    </row>
    <row r="84" spans="3:14" x14ac:dyDescent="0.2">
      <c r="C84" s="1"/>
      <c r="G84" s="1"/>
    </row>
    <row r="85" spans="3:14" x14ac:dyDescent="0.2">
      <c r="C85" s="1"/>
    </row>
    <row r="86" spans="3:14" x14ac:dyDescent="0.2">
      <c r="C86" s="1"/>
    </row>
    <row r="87" spans="3:14" x14ac:dyDescent="0.2">
      <c r="C87" s="1"/>
    </row>
    <row r="88" spans="3:14" x14ac:dyDescent="0.2">
      <c r="C88" s="1"/>
      <c r="H88" s="1"/>
    </row>
    <row r="89" spans="3:14" x14ac:dyDescent="0.2">
      <c r="C89" s="1"/>
    </row>
    <row r="90" spans="3:14" x14ac:dyDescent="0.2">
      <c r="C90" s="1"/>
    </row>
    <row r="91" spans="3:14" x14ac:dyDescent="0.2">
      <c r="C91" s="1"/>
    </row>
    <row r="92" spans="3:14" x14ac:dyDescent="0.2">
      <c r="C92" s="1"/>
    </row>
    <row r="93" spans="3:14" x14ac:dyDescent="0.2">
      <c r="C93" s="1"/>
    </row>
    <row r="94" spans="3:14" x14ac:dyDescent="0.2">
      <c r="C94" s="1"/>
    </row>
    <row r="95" spans="3:14" x14ac:dyDescent="0.2">
      <c r="C95" s="1"/>
    </row>
    <row r="96" spans="3:14" x14ac:dyDescent="0.2">
      <c r="C96" s="1"/>
    </row>
    <row r="97" spans="3:9" x14ac:dyDescent="0.2">
      <c r="C97" s="1"/>
    </row>
    <row r="98" spans="3:9" x14ac:dyDescent="0.2">
      <c r="C98" s="1"/>
    </row>
    <row r="99" spans="3:9" x14ac:dyDescent="0.2">
      <c r="C99" s="1"/>
    </row>
    <row r="100" spans="3:9" x14ac:dyDescent="0.2">
      <c r="C100" s="1"/>
    </row>
    <row r="101" spans="3:9" x14ac:dyDescent="0.2">
      <c r="C101" s="1"/>
    </row>
    <row r="102" spans="3:9" x14ac:dyDescent="0.2">
      <c r="C102" s="1"/>
    </row>
    <row r="103" spans="3:9" x14ac:dyDescent="0.2">
      <c r="C103" s="1"/>
    </row>
    <row r="104" spans="3:9" x14ac:dyDescent="0.2">
      <c r="C104" s="1"/>
    </row>
    <row r="105" spans="3:9" x14ac:dyDescent="0.2">
      <c r="C105" s="1"/>
    </row>
    <row r="106" spans="3:9" x14ac:dyDescent="0.2">
      <c r="C106" s="1"/>
    </row>
    <row r="107" spans="3:9" x14ac:dyDescent="0.2">
      <c r="C107" s="1"/>
    </row>
    <row r="108" spans="3:9" x14ac:dyDescent="0.2">
      <c r="C108" s="1"/>
    </row>
    <row r="109" spans="3:9" x14ac:dyDescent="0.2">
      <c r="C109" s="1"/>
      <c r="I109" s="1" t="s">
        <v>0</v>
      </c>
    </row>
    <row r="110" spans="3:9" x14ac:dyDescent="0.2">
      <c r="C110" s="1"/>
    </row>
  </sheetData>
  <sheetProtection sheet="1" objects="1" scenarios="1"/>
  <dataValidations count="1">
    <dataValidation type="list" allowBlank="1" showInputMessage="1" showErrorMessage="1" sqref="E16">
      <formula1>"Ensilaje 1, Ensilaje 2, Ensilaje 3, Ensilaje de Maiz, Mi Ensilaje"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English Units</vt:lpstr>
      <vt:lpstr>Metric Units</vt:lpstr>
      <vt:lpstr>Portugues</vt:lpstr>
      <vt:lpstr>Español</vt:lpstr>
      <vt:lpstr>'English Units'!Print_Area</vt:lpstr>
    </vt:vector>
  </TitlesOfParts>
  <Company>UW-Extension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Silage Pile Dimension Calculator</dc:title>
  <dc:creator>Kenneth H. Barnett</dc:creator>
  <cp:lastModifiedBy>Brian</cp:lastModifiedBy>
  <cp:lastPrinted>2001-10-03T17:12:42Z</cp:lastPrinted>
  <dcterms:created xsi:type="dcterms:W3CDTF">2001-09-27T18:04:14Z</dcterms:created>
  <dcterms:modified xsi:type="dcterms:W3CDTF">2016-04-19T14:09:55Z</dcterms:modified>
</cp:coreProperties>
</file>