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-H\SHOOTING SPORTS\SHOOTS\RESULTS\19 Results\"/>
    </mc:Choice>
  </mc:AlternateContent>
  <xr:revisionPtr revIDLastSave="0" documentId="13_ncr:1_{C33C2783-0922-4D0C-8499-D135FA64C3DB}" xr6:coauthVersionLast="41" xr6:coauthVersionMax="43" xr10:uidLastSave="{00000000-0000-0000-0000-000000000000}"/>
  <bookViews>
    <workbookView xWindow="28680" yWindow="-120" windowWidth="29040" windowHeight="15840" xr2:uid="{DA7FE99F-9C23-45D0-B503-141AA61944DF}"/>
  </bookViews>
  <sheets>
    <sheet name="NRA BB GUN" sheetId="2" r:id="rId1"/>
    <sheet name="40 Sht Stand" sheetId="3" r:id="rId2"/>
    <sheet name="NRA SECT." sheetId="4" r:id="rId3"/>
    <sheet name="NRA TEAMS" sheetId="6" r:id="rId4"/>
    <sheet name="Jr.Olympics" sheetId="5" r:id="rId5"/>
    <sheet name="Wildlif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6" l="1"/>
  <c r="N15" i="6"/>
  <c r="M15" i="6"/>
  <c r="L15" i="6"/>
  <c r="K15" i="6"/>
  <c r="J15" i="6"/>
  <c r="I15" i="6"/>
  <c r="O14" i="6"/>
  <c r="N14" i="6"/>
  <c r="M14" i="6"/>
  <c r="L14" i="6"/>
  <c r="K14" i="6"/>
  <c r="J14" i="6"/>
  <c r="I14" i="6"/>
  <c r="O13" i="6"/>
  <c r="N13" i="6"/>
  <c r="M13" i="6"/>
  <c r="L13" i="6"/>
  <c r="K13" i="6"/>
  <c r="J13" i="6"/>
  <c r="I13" i="6"/>
  <c r="O12" i="6"/>
  <c r="N12" i="6"/>
  <c r="M12" i="6"/>
  <c r="L12" i="6"/>
  <c r="K12" i="6"/>
  <c r="J12" i="6"/>
  <c r="I12" i="6"/>
  <c r="O11" i="6"/>
  <c r="N11" i="6"/>
  <c r="M11" i="6"/>
  <c r="L11" i="6"/>
  <c r="K11" i="6"/>
  <c r="J11" i="6"/>
  <c r="I11" i="6"/>
  <c r="O10" i="6"/>
  <c r="N10" i="6"/>
  <c r="M10" i="6"/>
  <c r="L10" i="6"/>
  <c r="K10" i="6"/>
  <c r="J10" i="6"/>
  <c r="I10" i="6"/>
  <c r="O8" i="6"/>
  <c r="N8" i="6"/>
  <c r="M8" i="6"/>
  <c r="L8" i="6"/>
  <c r="K8" i="6"/>
  <c r="J8" i="6"/>
  <c r="I8" i="6"/>
  <c r="O7" i="6"/>
  <c r="N7" i="6"/>
  <c r="M7" i="6"/>
  <c r="L7" i="6"/>
  <c r="K7" i="6"/>
  <c r="J7" i="6"/>
  <c r="I7" i="6"/>
  <c r="O6" i="6"/>
  <c r="N6" i="6"/>
  <c r="M6" i="6"/>
  <c r="L6" i="6"/>
  <c r="K6" i="6"/>
  <c r="J6" i="6"/>
  <c r="I6" i="6"/>
  <c r="O5" i="6"/>
  <c r="N5" i="6"/>
  <c r="M5" i="6"/>
  <c r="L5" i="6"/>
  <c r="K5" i="6"/>
  <c r="J5" i="6"/>
  <c r="I5" i="6"/>
  <c r="O4" i="6"/>
  <c r="N4" i="6"/>
  <c r="M4" i="6"/>
  <c r="L4" i="6"/>
  <c r="K4" i="6"/>
  <c r="J4" i="6"/>
  <c r="I4" i="6"/>
  <c r="O3" i="6"/>
  <c r="N3" i="6"/>
  <c r="M3" i="6"/>
  <c r="L3" i="6"/>
  <c r="K3" i="6"/>
  <c r="J3" i="6"/>
  <c r="I3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C7" i="6"/>
  <c r="B7" i="6"/>
  <c r="A7" i="6"/>
  <c r="F6" i="6"/>
  <c r="E6" i="6"/>
  <c r="D6" i="6"/>
  <c r="C6" i="6"/>
  <c r="B6" i="6"/>
  <c r="A6" i="6"/>
  <c r="F5" i="6"/>
  <c r="E5" i="6"/>
  <c r="D5" i="6"/>
  <c r="C5" i="6"/>
  <c r="B5" i="6"/>
  <c r="A5" i="6"/>
  <c r="F4" i="6"/>
  <c r="E4" i="6"/>
  <c r="D4" i="6"/>
  <c r="C4" i="6"/>
  <c r="B4" i="6"/>
  <c r="A4" i="6"/>
  <c r="E57" i="5"/>
  <c r="D57" i="5"/>
  <c r="C57" i="5"/>
  <c r="B57" i="5"/>
  <c r="A57" i="5"/>
  <c r="E53" i="5"/>
  <c r="D53" i="5"/>
  <c r="C53" i="5"/>
  <c r="B53" i="5"/>
  <c r="A53" i="5"/>
  <c r="E49" i="5"/>
  <c r="D49" i="5"/>
  <c r="C49" i="5"/>
  <c r="B49" i="5"/>
  <c r="A49" i="5"/>
  <c r="F45" i="5"/>
  <c r="E45" i="5"/>
  <c r="D45" i="5"/>
  <c r="C45" i="5"/>
  <c r="B45" i="5"/>
  <c r="A45" i="5"/>
  <c r="X39" i="5"/>
  <c r="W39" i="5"/>
  <c r="V39" i="5"/>
  <c r="U39" i="5"/>
  <c r="T39" i="5"/>
  <c r="X38" i="5"/>
  <c r="W38" i="5"/>
  <c r="V38" i="5"/>
  <c r="U38" i="5"/>
  <c r="T38" i="5"/>
  <c r="X34" i="5"/>
  <c r="W34" i="5"/>
  <c r="V34" i="5"/>
  <c r="U34" i="5"/>
  <c r="X33" i="5"/>
  <c r="W33" i="5"/>
  <c r="V33" i="5"/>
  <c r="U33" i="5"/>
  <c r="X32" i="5"/>
  <c r="W32" i="5"/>
  <c r="V32" i="5"/>
  <c r="U32" i="5"/>
  <c r="X31" i="5"/>
  <c r="W31" i="5"/>
  <c r="V31" i="5"/>
  <c r="U31" i="5"/>
  <c r="T31" i="5"/>
  <c r="X30" i="5"/>
  <c r="W30" i="5"/>
  <c r="V30" i="5"/>
  <c r="U30" i="5"/>
  <c r="T30" i="5"/>
  <c r="X29" i="5"/>
  <c r="W29" i="5"/>
  <c r="V29" i="5"/>
  <c r="U29" i="5"/>
  <c r="T29" i="5"/>
  <c r="X25" i="5"/>
  <c r="W25" i="5"/>
  <c r="V25" i="5"/>
  <c r="U25" i="5"/>
  <c r="X24" i="5"/>
  <c r="W24" i="5"/>
  <c r="V24" i="5"/>
  <c r="U24" i="5"/>
  <c r="X23" i="5"/>
  <c r="W23" i="5"/>
  <c r="V23" i="5"/>
  <c r="U23" i="5"/>
  <c r="T23" i="5"/>
  <c r="X22" i="5"/>
  <c r="W22" i="5"/>
  <c r="V22" i="5"/>
  <c r="U22" i="5"/>
  <c r="T22" i="5"/>
  <c r="X21" i="5"/>
  <c r="W21" i="5"/>
  <c r="V21" i="5"/>
  <c r="U21" i="5"/>
  <c r="T21" i="5"/>
  <c r="R39" i="5"/>
  <c r="Q39" i="5"/>
  <c r="P39" i="5"/>
  <c r="O39" i="5"/>
  <c r="N39" i="5"/>
  <c r="R38" i="5"/>
  <c r="Q38" i="5"/>
  <c r="P38" i="5"/>
  <c r="O38" i="5"/>
  <c r="N38" i="5"/>
  <c r="R34" i="5"/>
  <c r="Q34" i="5"/>
  <c r="P34" i="5"/>
  <c r="O34" i="5"/>
  <c r="R33" i="5"/>
  <c r="Q33" i="5"/>
  <c r="P33" i="5"/>
  <c r="O33" i="5"/>
  <c r="R32" i="5"/>
  <c r="Q32" i="5"/>
  <c r="P32" i="5"/>
  <c r="O32" i="5"/>
  <c r="R31" i="5"/>
  <c r="Q31" i="5"/>
  <c r="P31" i="5"/>
  <c r="O31" i="5"/>
  <c r="N31" i="5"/>
  <c r="R30" i="5"/>
  <c r="Q30" i="5"/>
  <c r="P30" i="5"/>
  <c r="O30" i="5"/>
  <c r="N30" i="5"/>
  <c r="R29" i="5"/>
  <c r="Q29" i="5"/>
  <c r="P29" i="5"/>
  <c r="O29" i="5"/>
  <c r="N29" i="5"/>
  <c r="R25" i="5"/>
  <c r="Q25" i="5"/>
  <c r="P25" i="5"/>
  <c r="O25" i="5"/>
  <c r="R24" i="5"/>
  <c r="Q24" i="5"/>
  <c r="P24" i="5"/>
  <c r="O24" i="5"/>
  <c r="R23" i="5"/>
  <c r="Q23" i="5"/>
  <c r="P23" i="5"/>
  <c r="O23" i="5"/>
  <c r="N23" i="5"/>
  <c r="R22" i="5"/>
  <c r="Q22" i="5"/>
  <c r="P22" i="5"/>
  <c r="O22" i="5"/>
  <c r="N22" i="5"/>
  <c r="R21" i="5"/>
  <c r="Q21" i="5"/>
  <c r="P21" i="5"/>
  <c r="O21" i="5"/>
  <c r="N21" i="5"/>
  <c r="L39" i="5"/>
  <c r="K39" i="5"/>
  <c r="J39" i="5"/>
  <c r="I39" i="5"/>
  <c r="H39" i="5"/>
  <c r="L38" i="5"/>
  <c r="K38" i="5"/>
  <c r="J38" i="5"/>
  <c r="I38" i="5"/>
  <c r="H38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H31" i="5"/>
  <c r="L30" i="5"/>
  <c r="K30" i="5"/>
  <c r="J30" i="5"/>
  <c r="I30" i="5"/>
  <c r="H30" i="5"/>
  <c r="L29" i="5"/>
  <c r="K29" i="5"/>
  <c r="J29" i="5"/>
  <c r="I29" i="5"/>
  <c r="H29" i="5"/>
  <c r="L25" i="5"/>
  <c r="K25" i="5"/>
  <c r="J25" i="5"/>
  <c r="I25" i="5"/>
  <c r="L24" i="5"/>
  <c r="K24" i="5"/>
  <c r="J24" i="5"/>
  <c r="I24" i="5"/>
  <c r="L23" i="5"/>
  <c r="K23" i="5"/>
  <c r="J23" i="5"/>
  <c r="I23" i="5"/>
  <c r="H23" i="5"/>
  <c r="L22" i="5"/>
  <c r="K22" i="5"/>
  <c r="J22" i="5"/>
  <c r="I22" i="5"/>
  <c r="H22" i="5"/>
  <c r="L21" i="5"/>
  <c r="K21" i="5"/>
  <c r="J21" i="5"/>
  <c r="I21" i="5"/>
  <c r="H21" i="5"/>
  <c r="F39" i="5"/>
  <c r="E39" i="5"/>
  <c r="D39" i="5"/>
  <c r="C39" i="5"/>
  <c r="B39" i="5"/>
  <c r="F38" i="5"/>
  <c r="E38" i="5"/>
  <c r="D38" i="5"/>
  <c r="C38" i="5"/>
  <c r="B38" i="5"/>
  <c r="A38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61" i="4"/>
  <c r="E61" i="4"/>
  <c r="D61" i="4"/>
  <c r="C61" i="4"/>
  <c r="B61" i="4"/>
  <c r="A61" i="4"/>
  <c r="F60" i="4"/>
  <c r="E60" i="4"/>
  <c r="D60" i="4"/>
  <c r="C60" i="4"/>
  <c r="B60" i="4"/>
  <c r="A60" i="4"/>
  <c r="F59" i="4"/>
  <c r="E59" i="4"/>
  <c r="D59" i="4"/>
  <c r="C59" i="4"/>
  <c r="B59" i="4"/>
  <c r="A59" i="4"/>
  <c r="F58" i="4"/>
  <c r="E58" i="4"/>
  <c r="D58" i="4"/>
  <c r="C58" i="4"/>
  <c r="B58" i="4"/>
  <c r="A58" i="4"/>
  <c r="F57" i="4"/>
  <c r="E57" i="4"/>
  <c r="D57" i="4"/>
  <c r="C57" i="4"/>
  <c r="B57" i="4"/>
  <c r="A57" i="4"/>
  <c r="F56" i="4"/>
  <c r="E56" i="4"/>
  <c r="D56" i="4"/>
  <c r="C56" i="4"/>
  <c r="B56" i="4"/>
  <c r="A56" i="4"/>
  <c r="F55" i="4"/>
  <c r="E55" i="4"/>
  <c r="D55" i="4"/>
  <c r="C55" i="4"/>
  <c r="B55" i="4"/>
  <c r="A55" i="4"/>
  <c r="F54" i="4"/>
  <c r="E54" i="4"/>
  <c r="D54" i="4"/>
  <c r="C54" i="4"/>
  <c r="B54" i="4"/>
  <c r="A54" i="4"/>
  <c r="F53" i="4"/>
  <c r="E53" i="4"/>
  <c r="D53" i="4"/>
  <c r="C53" i="4"/>
  <c r="B53" i="4"/>
  <c r="A53" i="4"/>
  <c r="F52" i="4"/>
  <c r="E52" i="4"/>
  <c r="D52" i="4"/>
  <c r="C52" i="4"/>
  <c r="B52" i="4"/>
  <c r="A52" i="4"/>
  <c r="Q46" i="4"/>
  <c r="P46" i="4"/>
  <c r="O46" i="4"/>
  <c r="N46" i="4"/>
  <c r="Q45" i="4"/>
  <c r="P45" i="4"/>
  <c r="O45" i="4"/>
  <c r="N45" i="4"/>
  <c r="Q44" i="4"/>
  <c r="P44" i="4"/>
  <c r="O44" i="4"/>
  <c r="N44" i="4"/>
  <c r="M44" i="4"/>
  <c r="Q43" i="4"/>
  <c r="P43" i="4"/>
  <c r="O43" i="4"/>
  <c r="N43" i="4"/>
  <c r="M43" i="4"/>
  <c r="Q42" i="4"/>
  <c r="P42" i="4"/>
  <c r="O42" i="4"/>
  <c r="N42" i="4"/>
  <c r="M42" i="4"/>
  <c r="Q41" i="4"/>
  <c r="P41" i="4"/>
  <c r="O41" i="4"/>
  <c r="N41" i="4"/>
  <c r="M41" i="4"/>
  <c r="Q40" i="4"/>
  <c r="P40" i="4"/>
  <c r="O40" i="4"/>
  <c r="N40" i="4"/>
  <c r="M40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P30" i="4"/>
  <c r="O30" i="4"/>
  <c r="N30" i="4"/>
  <c r="M30" i="4"/>
  <c r="Q29" i="4"/>
  <c r="P29" i="4"/>
  <c r="O29" i="4"/>
  <c r="N29" i="4"/>
  <c r="M29" i="4"/>
  <c r="Q28" i="4"/>
  <c r="P28" i="4"/>
  <c r="O28" i="4"/>
  <c r="N28" i="4"/>
  <c r="M28" i="4"/>
  <c r="Q24" i="4"/>
  <c r="P24" i="4"/>
  <c r="O24" i="4"/>
  <c r="N24" i="4"/>
  <c r="M24" i="4"/>
  <c r="K46" i="4"/>
  <c r="J46" i="4"/>
  <c r="I46" i="4"/>
  <c r="H46" i="4"/>
  <c r="K45" i="4"/>
  <c r="J45" i="4"/>
  <c r="I45" i="4"/>
  <c r="H45" i="4"/>
  <c r="K44" i="4"/>
  <c r="J44" i="4"/>
  <c r="I44" i="4"/>
  <c r="H44" i="4"/>
  <c r="G44" i="4"/>
  <c r="K43" i="4"/>
  <c r="J43" i="4"/>
  <c r="I43" i="4"/>
  <c r="H43" i="4"/>
  <c r="G43" i="4"/>
  <c r="K42" i="4"/>
  <c r="J42" i="4"/>
  <c r="I42" i="4"/>
  <c r="H42" i="4"/>
  <c r="G42" i="4"/>
  <c r="K41" i="4"/>
  <c r="J41" i="4"/>
  <c r="I41" i="4"/>
  <c r="H41" i="4"/>
  <c r="G41" i="4"/>
  <c r="K40" i="4"/>
  <c r="J40" i="4"/>
  <c r="I40" i="4"/>
  <c r="H40" i="4"/>
  <c r="G40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G33" i="4"/>
  <c r="K32" i="4"/>
  <c r="J32" i="4"/>
  <c r="I32" i="4"/>
  <c r="H32" i="4"/>
  <c r="G32" i="4"/>
  <c r="K31" i="4"/>
  <c r="J31" i="4"/>
  <c r="I31" i="4"/>
  <c r="H31" i="4"/>
  <c r="G31" i="4"/>
  <c r="K30" i="4"/>
  <c r="J30" i="4"/>
  <c r="I30" i="4"/>
  <c r="H30" i="4"/>
  <c r="G30" i="4"/>
  <c r="K29" i="4"/>
  <c r="J29" i="4"/>
  <c r="I29" i="4"/>
  <c r="H29" i="4"/>
  <c r="G29" i="4"/>
  <c r="K28" i="4"/>
  <c r="J28" i="4"/>
  <c r="I28" i="4"/>
  <c r="H28" i="4"/>
  <c r="G28" i="4"/>
  <c r="K24" i="4"/>
  <c r="J24" i="4"/>
  <c r="I24" i="4"/>
  <c r="H24" i="4"/>
  <c r="G24" i="4"/>
  <c r="E46" i="4"/>
  <c r="D46" i="4"/>
  <c r="C46" i="4"/>
  <c r="B46" i="4"/>
  <c r="E45" i="4"/>
  <c r="D45" i="4"/>
  <c r="C45" i="4"/>
  <c r="B45" i="4"/>
  <c r="E44" i="4"/>
  <c r="D44" i="4"/>
  <c r="C44" i="4"/>
  <c r="B44" i="4"/>
  <c r="A44" i="4"/>
  <c r="E43" i="4"/>
  <c r="D43" i="4"/>
  <c r="C43" i="4"/>
  <c r="B43" i="4"/>
  <c r="A43" i="4"/>
  <c r="E42" i="4"/>
  <c r="D42" i="4"/>
  <c r="C42" i="4"/>
  <c r="B42" i="4"/>
  <c r="A42" i="4"/>
  <c r="E41" i="4"/>
  <c r="D41" i="4"/>
  <c r="C41" i="4"/>
  <c r="B41" i="4"/>
  <c r="A41" i="4"/>
  <c r="E40" i="4"/>
  <c r="D40" i="4"/>
  <c r="C40" i="4"/>
  <c r="B40" i="4"/>
  <c r="A40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A33" i="4"/>
  <c r="E32" i="4"/>
  <c r="D32" i="4"/>
  <c r="C32" i="4"/>
  <c r="B32" i="4"/>
  <c r="A32" i="4"/>
  <c r="E31" i="4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4" i="4"/>
  <c r="D24" i="4"/>
  <c r="C24" i="4"/>
  <c r="B24" i="4"/>
  <c r="A24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F15" i="4"/>
  <c r="E15" i="4"/>
  <c r="D15" i="4"/>
  <c r="C15" i="4"/>
  <c r="B15" i="4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64" i="2" l="1"/>
  <c r="F64" i="2"/>
  <c r="E64" i="2"/>
  <c r="D64" i="2"/>
  <c r="C64" i="2"/>
  <c r="B64" i="2"/>
  <c r="A64" i="2"/>
  <c r="G63" i="2"/>
  <c r="F63" i="2"/>
  <c r="E63" i="2"/>
  <c r="D63" i="2"/>
  <c r="C63" i="2"/>
  <c r="B63" i="2"/>
  <c r="A63" i="2"/>
  <c r="G62" i="2"/>
  <c r="F62" i="2"/>
  <c r="E62" i="2"/>
  <c r="D62" i="2"/>
  <c r="C62" i="2"/>
  <c r="B62" i="2"/>
  <c r="A62" i="2"/>
  <c r="G61" i="2"/>
  <c r="F61" i="2"/>
  <c r="E61" i="2"/>
  <c r="D61" i="2"/>
  <c r="C61" i="2"/>
  <c r="B61" i="2"/>
  <c r="A61" i="2"/>
  <c r="G60" i="2"/>
  <c r="F60" i="2"/>
  <c r="E60" i="2"/>
  <c r="D60" i="2"/>
  <c r="C60" i="2"/>
  <c r="B60" i="2"/>
  <c r="A60" i="2"/>
  <c r="G59" i="2"/>
  <c r="F59" i="2"/>
  <c r="E59" i="2"/>
  <c r="D59" i="2"/>
  <c r="C59" i="2"/>
  <c r="B59" i="2"/>
  <c r="A59" i="2"/>
  <c r="G57" i="2"/>
  <c r="F57" i="2"/>
  <c r="E57" i="2"/>
  <c r="D57" i="2"/>
  <c r="C57" i="2"/>
  <c r="B57" i="2"/>
  <c r="A57" i="2"/>
  <c r="G56" i="2"/>
  <c r="F56" i="2"/>
  <c r="E56" i="2"/>
  <c r="D56" i="2"/>
  <c r="C56" i="2"/>
  <c r="B56" i="2"/>
  <c r="A56" i="2"/>
  <c r="G55" i="2"/>
  <c r="F55" i="2"/>
  <c r="E55" i="2"/>
  <c r="D55" i="2"/>
  <c r="C55" i="2"/>
  <c r="B55" i="2"/>
  <c r="A55" i="2"/>
  <c r="G54" i="2"/>
  <c r="F54" i="2"/>
  <c r="E54" i="2"/>
  <c r="D54" i="2"/>
  <c r="C54" i="2"/>
  <c r="B54" i="2"/>
  <c r="A54" i="2"/>
  <c r="G53" i="2"/>
  <c r="F53" i="2"/>
  <c r="E53" i="2"/>
  <c r="D53" i="2"/>
  <c r="C53" i="2"/>
  <c r="B53" i="2"/>
  <c r="A53" i="2"/>
  <c r="G52" i="2"/>
  <c r="F52" i="2"/>
  <c r="E52" i="2"/>
  <c r="D52" i="2"/>
  <c r="C52" i="2"/>
  <c r="B52" i="2"/>
  <c r="A52" i="2"/>
  <c r="S48" i="2"/>
  <c r="R48" i="2"/>
  <c r="Q48" i="2"/>
  <c r="P48" i="2"/>
  <c r="S44" i="2"/>
  <c r="R44" i="2"/>
  <c r="Q44" i="2"/>
  <c r="S43" i="2"/>
  <c r="R43" i="2"/>
  <c r="Q43" i="2"/>
  <c r="S42" i="2"/>
  <c r="R42" i="2"/>
  <c r="Q42" i="2"/>
  <c r="S41" i="2"/>
  <c r="R41" i="2"/>
  <c r="Q41" i="2"/>
  <c r="S40" i="2"/>
  <c r="R40" i="2"/>
  <c r="Q40" i="2"/>
  <c r="S39" i="2"/>
  <c r="R39" i="2"/>
  <c r="Q39" i="2"/>
  <c r="S38" i="2"/>
  <c r="R38" i="2"/>
  <c r="Q38" i="2"/>
  <c r="P38" i="2"/>
  <c r="S37" i="2"/>
  <c r="R37" i="2"/>
  <c r="Q37" i="2"/>
  <c r="P37" i="2"/>
  <c r="S36" i="2"/>
  <c r="R36" i="2"/>
  <c r="Q36" i="2"/>
  <c r="P36" i="2"/>
  <c r="S35" i="2"/>
  <c r="R35" i="2"/>
  <c r="Q35" i="2"/>
  <c r="P35" i="2"/>
  <c r="S34" i="2"/>
  <c r="R34" i="2"/>
  <c r="Q34" i="2"/>
  <c r="P34" i="2"/>
  <c r="S33" i="2"/>
  <c r="R33" i="2"/>
  <c r="Q33" i="2"/>
  <c r="P33" i="2"/>
  <c r="S29" i="2"/>
  <c r="R29" i="2"/>
  <c r="Q29" i="2"/>
  <c r="S28" i="2"/>
  <c r="R28" i="2"/>
  <c r="Q28" i="2"/>
  <c r="P28" i="2"/>
  <c r="S27" i="2"/>
  <c r="R27" i="2"/>
  <c r="Q27" i="2"/>
  <c r="P27" i="2"/>
  <c r="N48" i="2"/>
  <c r="M48" i="2"/>
  <c r="L48" i="2"/>
  <c r="K48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29" i="2"/>
  <c r="M29" i="2"/>
  <c r="L29" i="2"/>
  <c r="N28" i="2"/>
  <c r="M28" i="2"/>
  <c r="L28" i="2"/>
  <c r="K28" i="2"/>
  <c r="N27" i="2"/>
  <c r="M27" i="2"/>
  <c r="L27" i="2"/>
  <c r="K27" i="2"/>
  <c r="I48" i="2"/>
  <c r="H48" i="2"/>
  <c r="G48" i="2"/>
  <c r="F48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29" i="2"/>
  <c r="H29" i="2"/>
  <c r="G29" i="2"/>
  <c r="I28" i="2"/>
  <c r="H28" i="2"/>
  <c r="G28" i="2"/>
  <c r="F28" i="2"/>
  <c r="I27" i="2"/>
  <c r="H27" i="2"/>
  <c r="G27" i="2"/>
  <c r="F27" i="2"/>
  <c r="D48" i="2"/>
  <c r="C48" i="2"/>
  <c r="B48" i="2"/>
  <c r="A48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29" i="2"/>
  <c r="C29" i="2"/>
  <c r="B29" i="2"/>
  <c r="D28" i="2"/>
  <c r="C28" i="2"/>
  <c r="B28" i="2"/>
  <c r="A28" i="2"/>
  <c r="D27" i="2"/>
  <c r="C27" i="2"/>
  <c r="B27" i="2"/>
  <c r="A27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<sst xmlns="http://schemas.openxmlformats.org/spreadsheetml/2006/main" count="312" uniqueCount="70">
  <si>
    <t>Michael Hager</t>
  </si>
  <si>
    <t>Rachel Hager</t>
  </si>
  <si>
    <t>Eli Muckler</t>
  </si>
  <si>
    <t>Brock Malphy</t>
  </si>
  <si>
    <t>Jake Malphy</t>
  </si>
  <si>
    <t>Tiernee Arndt</t>
  </si>
  <si>
    <t>Aaron Daniels</t>
  </si>
  <si>
    <t>Meggan Daniels</t>
  </si>
  <si>
    <t>Jacob Sammon</t>
  </si>
  <si>
    <t>Wyatt Cochran</t>
  </si>
  <si>
    <t>NRA BB Gun Overall</t>
  </si>
  <si>
    <t>Rank</t>
  </si>
  <si>
    <t>Participant</t>
  </si>
  <si>
    <t>Prone</t>
  </si>
  <si>
    <t>Standing</t>
  </si>
  <si>
    <t>Sitting</t>
  </si>
  <si>
    <t>Kneeling</t>
  </si>
  <si>
    <t>Individual</t>
  </si>
  <si>
    <t>TOTAL POINTS POSSIBLE=400</t>
  </si>
  <si>
    <t>Gold</t>
  </si>
  <si>
    <t>Silver</t>
  </si>
  <si>
    <t>Bronze</t>
  </si>
  <si>
    <t>BB1</t>
  </si>
  <si>
    <t>PR 1</t>
  </si>
  <si>
    <t>BB2</t>
  </si>
  <si>
    <t>BB3</t>
  </si>
  <si>
    <t>ST 1</t>
  </si>
  <si>
    <t>SI 1</t>
  </si>
  <si>
    <t>KN 1</t>
  </si>
  <si>
    <t>B B Gun Team Results</t>
  </si>
  <si>
    <t>Team</t>
  </si>
  <si>
    <r>
      <t xml:space="preserve">Team - </t>
    </r>
    <r>
      <rPr>
        <b/>
        <sz val="11"/>
        <color theme="1"/>
        <rFont val="Calibri"/>
        <family val="2"/>
        <scheme val="minor"/>
      </rPr>
      <t>TOTALS</t>
    </r>
  </si>
  <si>
    <t>NRA 40 Standing</t>
  </si>
  <si>
    <t>ST 2</t>
  </si>
  <si>
    <t>ST 3</t>
  </si>
  <si>
    <t>ST 4</t>
  </si>
  <si>
    <t>POSSIBLE POINTS=400</t>
  </si>
  <si>
    <t>NRA 3P Overall</t>
  </si>
  <si>
    <t>POSSIBLE POINTS=600</t>
  </si>
  <si>
    <t>PR 2</t>
  </si>
  <si>
    <t>JUNIORS</t>
  </si>
  <si>
    <t>INTERMEDIATE JRS.</t>
  </si>
  <si>
    <t>SUB JUNIORS</t>
  </si>
  <si>
    <t>KN 2</t>
  </si>
  <si>
    <t>NRA 3P Teams</t>
  </si>
  <si>
    <t>POSSIBLE POINTS=2400</t>
  </si>
  <si>
    <t xml:space="preserve"> Junior Olympics Overall</t>
  </si>
  <si>
    <t>Junior Olympics Overall age group</t>
  </si>
  <si>
    <t>OLDEST AGE GROUP (15-19)</t>
  </si>
  <si>
    <t>INTERMEDIATE AGE GROUP (12-14)</t>
  </si>
  <si>
    <t>YOUNGEST AGE GROUP (8-11)</t>
  </si>
  <si>
    <t>Junior Olympic 3P Precision</t>
  </si>
  <si>
    <t>POSSIBLE POINTS=1500</t>
  </si>
  <si>
    <t xml:space="preserve">SENIOR </t>
  </si>
  <si>
    <t>Name</t>
  </si>
  <si>
    <t>Points</t>
  </si>
  <si>
    <t>INTERMEDIATE</t>
  </si>
  <si>
    <t>Brady Bednarek</t>
  </si>
  <si>
    <t>JUNIOR</t>
  </si>
  <si>
    <t>2019 WILDLIFE [COMBINED 4-H-NRA/JUNIOR OLYMPICS]</t>
  </si>
  <si>
    <t>POSSIBLE POINTS=60</t>
  </si>
  <si>
    <t>Kianna Prince</t>
  </si>
  <si>
    <t>POSSIBLE POINTS=40</t>
  </si>
  <si>
    <t>Dylan Seichter</t>
  </si>
  <si>
    <t>POSSIBLE POINTS = 20</t>
  </si>
  <si>
    <t>PARENTS</t>
  </si>
  <si>
    <t>Possible Points=60</t>
  </si>
  <si>
    <t>Nate Cochran</t>
  </si>
  <si>
    <t>Amber Muckler</t>
  </si>
  <si>
    <t>Melissa Cochran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</si>
</sst>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mmmm\-yy;@"/>
    <numFmt numFmtId="165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color rgb="FFFF0000"/>
      <name val="Calibri"/>
      <family val="2"/>
    </font>
    <font>
      <strike/>
      <sz val="11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strike/>
      <sz val="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4" fillId="0" borderId="0" xfId="3" applyAlignment="1">
      <alignment horizontal="center"/>
    </xf>
    <xf numFmtId="0" fontId="4" fillId="0" borderId="0" xfId="3" applyAlignment="1">
      <alignment horizontal="left"/>
    </xf>
    <xf numFmtId="0" fontId="4" fillId="0" borderId="0" xfId="3"/>
    <xf numFmtId="0" fontId="4" fillId="0" borderId="0" xfId="3" applyAlignment="1">
      <alignment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wrapText="1"/>
    </xf>
    <xf numFmtId="0" fontId="7" fillId="0" borderId="0" xfId="3" applyFont="1"/>
    <xf numFmtId="0" fontId="7" fillId="0" borderId="0" xfId="3" applyFont="1" applyAlignment="1">
      <alignment horizontal="center"/>
    </xf>
    <xf numFmtId="0" fontId="9" fillId="0" borderId="0" xfId="3" applyFont="1" applyAlignment="1">
      <alignment wrapText="1"/>
    </xf>
    <xf numFmtId="16" fontId="4" fillId="0" borderId="0" xfId="3" applyNumberFormat="1"/>
    <xf numFmtId="0" fontId="6" fillId="0" borderId="0" xfId="3" applyFont="1" applyAlignment="1">
      <alignment vertical="center"/>
    </xf>
    <xf numFmtId="0" fontId="6" fillId="0" borderId="0" xfId="3" applyFont="1" applyAlignment="1">
      <alignment vertical="top"/>
    </xf>
    <xf numFmtId="6" fontId="4" fillId="0" borderId="0" xfId="3" applyNumberFormat="1" applyAlignment="1">
      <alignment horizontal="center"/>
    </xf>
    <xf numFmtId="0" fontId="4" fillId="0" borderId="0" xfId="3" applyBorder="1" applyAlignment="1">
      <alignment horizontal="center" wrapText="1"/>
    </xf>
    <xf numFmtId="0" fontId="6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/>
    <xf numFmtId="0" fontId="8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wrapText="1"/>
    </xf>
    <xf numFmtId="0" fontId="10" fillId="0" borderId="0" xfId="3" applyFont="1" applyBorder="1"/>
    <xf numFmtId="0" fontId="4" fillId="0" borderId="0" xfId="3" applyBorder="1" applyAlignment="1">
      <alignment horizontal="left"/>
    </xf>
    <xf numFmtId="0" fontId="4" fillId="0" borderId="0" xfId="3" applyBorder="1"/>
    <xf numFmtId="0" fontId="4" fillId="0" borderId="0" xfId="3" applyBorder="1" applyAlignment="1">
      <alignment wrapText="1"/>
    </xf>
    <xf numFmtId="0" fontId="12" fillId="0" borderId="0" xfId="3" applyFont="1" applyBorder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10" fillId="0" borderId="0" xfId="3" applyFont="1" applyBorder="1" applyAlignment="1">
      <alignment wrapText="1"/>
    </xf>
    <xf numFmtId="0" fontId="4" fillId="0" borderId="0" xfId="3" applyBorder="1" applyAlignment="1">
      <alignment horizontal="center"/>
    </xf>
    <xf numFmtId="0" fontId="8" fillId="0" borderId="0" xfId="3" applyFont="1" applyBorder="1"/>
    <xf numFmtId="18" fontId="5" fillId="0" borderId="0" xfId="3" applyNumberFormat="1" applyFont="1" applyBorder="1" applyAlignment="1">
      <alignment horizontal="center"/>
    </xf>
    <xf numFmtId="164" fontId="11" fillId="0" borderId="0" xfId="3" applyNumberFormat="1" applyFont="1" applyBorder="1"/>
    <xf numFmtId="0" fontId="5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 wrapText="1"/>
    </xf>
    <xf numFmtId="1" fontId="15" fillId="0" borderId="0" xfId="3" applyNumberFormat="1" applyFont="1" applyBorder="1" applyAlignment="1">
      <alignment horizontal="center"/>
    </xf>
    <xf numFmtId="1" fontId="0" fillId="0" borderId="0" xfId="2" applyNumberFormat="1" applyFont="1" applyBorder="1" applyAlignment="1">
      <alignment horizontal="left"/>
    </xf>
    <xf numFmtId="15" fontId="4" fillId="0" borderId="0" xfId="3" applyNumberFormat="1" applyBorder="1" applyAlignment="1">
      <alignment horizontal="center"/>
    </xf>
    <xf numFmtId="165" fontId="11" fillId="0" borderId="0" xfId="3" applyNumberFormat="1" applyFont="1" applyBorder="1"/>
    <xf numFmtId="0" fontId="13" fillId="0" borderId="0" xfId="3" applyFont="1" applyBorder="1" applyAlignment="1">
      <alignment horizontal="center"/>
    </xf>
    <xf numFmtId="1" fontId="16" fillId="0" borderId="0" xfId="3" applyNumberFormat="1" applyFont="1" applyBorder="1" applyAlignment="1">
      <alignment horizontal="center"/>
    </xf>
    <xf numFmtId="1" fontId="14" fillId="0" borderId="0" xfId="3" applyNumberFormat="1" applyFont="1" applyBorder="1" applyAlignment="1">
      <alignment horizontal="center"/>
    </xf>
    <xf numFmtId="1" fontId="8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right"/>
    </xf>
    <xf numFmtId="6" fontId="6" fillId="0" borderId="0" xfId="3" applyNumberFormat="1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</cellXfs>
  <cellStyles count="4">
    <cellStyle name="Excel Built-in Normal" xfId="3" xr:uid="{3393433A-430B-4CFD-A416-07D5051689F0}"/>
    <cellStyle name="Normal" xfId="0" builtinId="0"/>
    <cellStyle name="Normal 2" xfId="2" xr:uid="{67A74417-884F-4309-8EB2-009D6091CEFE}"/>
    <cellStyle name="Note 2" xfId="1" xr:uid="{881E20A0-5CBC-4989-BFF5-FF26FCDA3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1DB71-F013-4E43-9D39-DE48772E3E97}">
  <dimension ref="A1:S146"/>
  <sheetViews>
    <sheetView tabSelected="1" topLeftCell="A7" workbookViewId="0">
      <selection activeCell="A50" sqref="A50:G64"/>
    </sheetView>
  </sheetViews>
  <sheetFormatPr defaultColWidth="9.28515625" defaultRowHeight="15" x14ac:dyDescent="0.25"/>
  <cols>
    <col min="1" max="1" width="7.7109375" style="4" customWidth="1"/>
    <col min="2" max="2" width="22.28515625" style="2" customWidth="1"/>
    <col min="3" max="3" width="6.5703125" style="2" customWidth="1"/>
    <col min="4" max="4" width="8.5703125" style="2" customWidth="1"/>
    <col min="5" max="5" width="7.7109375" style="3" customWidth="1"/>
    <col min="6" max="6" width="8.42578125" style="4" customWidth="1"/>
    <col min="7" max="7" width="21.42578125" style="4" customWidth="1"/>
    <col min="8" max="8" width="6.140625" style="5" customWidth="1"/>
    <col min="9" max="9" width="9" style="4" customWidth="1"/>
    <col min="10" max="10" width="1.7109375" style="4" customWidth="1"/>
    <col min="11" max="11" width="6" style="4" customWidth="1"/>
    <col min="12" max="12" width="20.42578125" style="4" customWidth="1"/>
    <col min="13" max="13" width="6.7109375" style="4" customWidth="1"/>
    <col min="14" max="14" width="7" style="4" customWidth="1"/>
    <col min="15" max="15" width="1.7109375" style="4" customWidth="1"/>
    <col min="16" max="16" width="5.140625" style="4" customWidth="1"/>
    <col min="17" max="17" width="21.140625" style="4" customWidth="1"/>
    <col min="18" max="18" width="7" style="4" customWidth="1"/>
    <col min="19" max="256" width="9.28515625" style="4"/>
    <col min="257" max="257" width="8.5703125" style="4" customWidth="1"/>
    <col min="258" max="259" width="10.28515625" style="4" customWidth="1"/>
    <col min="260" max="260" width="9.42578125" style="4" customWidth="1"/>
    <col min="261" max="261" width="19.7109375" style="4" customWidth="1"/>
    <col min="262" max="262" width="17.140625" style="4" customWidth="1"/>
    <col min="263" max="263" width="15.85546875" style="4" customWidth="1"/>
    <col min="264" max="264" width="10.140625" style="4" customWidth="1"/>
    <col min="265" max="265" width="13.85546875" style="4" customWidth="1"/>
    <col min="266" max="266" width="7.42578125" style="4" customWidth="1"/>
    <col min="267" max="512" width="9.28515625" style="4"/>
    <col min="513" max="513" width="8.5703125" style="4" customWidth="1"/>
    <col min="514" max="515" width="10.28515625" style="4" customWidth="1"/>
    <col min="516" max="516" width="9.42578125" style="4" customWidth="1"/>
    <col min="517" max="517" width="19.7109375" style="4" customWidth="1"/>
    <col min="518" max="518" width="17.140625" style="4" customWidth="1"/>
    <col min="519" max="519" width="15.85546875" style="4" customWidth="1"/>
    <col min="520" max="520" width="10.140625" style="4" customWidth="1"/>
    <col min="521" max="521" width="13.85546875" style="4" customWidth="1"/>
    <col min="522" max="522" width="7.42578125" style="4" customWidth="1"/>
    <col min="523" max="768" width="9.28515625" style="4"/>
    <col min="769" max="769" width="8.5703125" style="4" customWidth="1"/>
    <col min="770" max="771" width="10.28515625" style="4" customWidth="1"/>
    <col min="772" max="772" width="9.42578125" style="4" customWidth="1"/>
    <col min="773" max="773" width="19.7109375" style="4" customWidth="1"/>
    <col min="774" max="774" width="17.140625" style="4" customWidth="1"/>
    <col min="775" max="775" width="15.85546875" style="4" customWidth="1"/>
    <col min="776" max="776" width="10.140625" style="4" customWidth="1"/>
    <col min="777" max="777" width="13.85546875" style="4" customWidth="1"/>
    <col min="778" max="778" width="7.42578125" style="4" customWidth="1"/>
    <col min="779" max="1024" width="9.28515625" style="4"/>
    <col min="1025" max="1025" width="8.5703125" style="4" customWidth="1"/>
    <col min="1026" max="1027" width="10.28515625" style="4" customWidth="1"/>
    <col min="1028" max="1028" width="9.42578125" style="4" customWidth="1"/>
    <col min="1029" max="1029" width="19.7109375" style="4" customWidth="1"/>
    <col min="1030" max="1030" width="17.140625" style="4" customWidth="1"/>
    <col min="1031" max="1031" width="15.85546875" style="4" customWidth="1"/>
    <col min="1032" max="1032" width="10.140625" style="4" customWidth="1"/>
    <col min="1033" max="1033" width="13.85546875" style="4" customWidth="1"/>
    <col min="1034" max="1034" width="7.42578125" style="4" customWidth="1"/>
    <col min="1035" max="1280" width="9.28515625" style="4"/>
    <col min="1281" max="1281" width="8.5703125" style="4" customWidth="1"/>
    <col min="1282" max="1283" width="10.28515625" style="4" customWidth="1"/>
    <col min="1284" max="1284" width="9.42578125" style="4" customWidth="1"/>
    <col min="1285" max="1285" width="19.7109375" style="4" customWidth="1"/>
    <col min="1286" max="1286" width="17.140625" style="4" customWidth="1"/>
    <col min="1287" max="1287" width="15.85546875" style="4" customWidth="1"/>
    <col min="1288" max="1288" width="10.140625" style="4" customWidth="1"/>
    <col min="1289" max="1289" width="13.85546875" style="4" customWidth="1"/>
    <col min="1290" max="1290" width="7.42578125" style="4" customWidth="1"/>
    <col min="1291" max="1536" width="9.28515625" style="4"/>
    <col min="1537" max="1537" width="8.5703125" style="4" customWidth="1"/>
    <col min="1538" max="1539" width="10.28515625" style="4" customWidth="1"/>
    <col min="1540" max="1540" width="9.42578125" style="4" customWidth="1"/>
    <col min="1541" max="1541" width="19.7109375" style="4" customWidth="1"/>
    <col min="1542" max="1542" width="17.140625" style="4" customWidth="1"/>
    <col min="1543" max="1543" width="15.85546875" style="4" customWidth="1"/>
    <col min="1544" max="1544" width="10.140625" style="4" customWidth="1"/>
    <col min="1545" max="1545" width="13.85546875" style="4" customWidth="1"/>
    <col min="1546" max="1546" width="7.42578125" style="4" customWidth="1"/>
    <col min="1547" max="1792" width="9.28515625" style="4"/>
    <col min="1793" max="1793" width="8.5703125" style="4" customWidth="1"/>
    <col min="1794" max="1795" width="10.28515625" style="4" customWidth="1"/>
    <col min="1796" max="1796" width="9.42578125" style="4" customWidth="1"/>
    <col min="1797" max="1797" width="19.7109375" style="4" customWidth="1"/>
    <col min="1798" max="1798" width="17.140625" style="4" customWidth="1"/>
    <col min="1799" max="1799" width="15.85546875" style="4" customWidth="1"/>
    <col min="1800" max="1800" width="10.140625" style="4" customWidth="1"/>
    <col min="1801" max="1801" width="13.85546875" style="4" customWidth="1"/>
    <col min="1802" max="1802" width="7.42578125" style="4" customWidth="1"/>
    <col min="1803" max="2048" width="9.28515625" style="4"/>
    <col min="2049" max="2049" width="8.5703125" style="4" customWidth="1"/>
    <col min="2050" max="2051" width="10.28515625" style="4" customWidth="1"/>
    <col min="2052" max="2052" width="9.42578125" style="4" customWidth="1"/>
    <col min="2053" max="2053" width="19.7109375" style="4" customWidth="1"/>
    <col min="2054" max="2054" width="17.140625" style="4" customWidth="1"/>
    <col min="2055" max="2055" width="15.85546875" style="4" customWidth="1"/>
    <col min="2056" max="2056" width="10.140625" style="4" customWidth="1"/>
    <col min="2057" max="2057" width="13.85546875" style="4" customWidth="1"/>
    <col min="2058" max="2058" width="7.42578125" style="4" customWidth="1"/>
    <col min="2059" max="2304" width="9.28515625" style="4"/>
    <col min="2305" max="2305" width="8.5703125" style="4" customWidth="1"/>
    <col min="2306" max="2307" width="10.28515625" style="4" customWidth="1"/>
    <col min="2308" max="2308" width="9.42578125" style="4" customWidth="1"/>
    <col min="2309" max="2309" width="19.7109375" style="4" customWidth="1"/>
    <col min="2310" max="2310" width="17.140625" style="4" customWidth="1"/>
    <col min="2311" max="2311" width="15.85546875" style="4" customWidth="1"/>
    <col min="2312" max="2312" width="10.140625" style="4" customWidth="1"/>
    <col min="2313" max="2313" width="13.85546875" style="4" customWidth="1"/>
    <col min="2314" max="2314" width="7.42578125" style="4" customWidth="1"/>
    <col min="2315" max="2560" width="9.28515625" style="4"/>
    <col min="2561" max="2561" width="8.5703125" style="4" customWidth="1"/>
    <col min="2562" max="2563" width="10.28515625" style="4" customWidth="1"/>
    <col min="2564" max="2564" width="9.42578125" style="4" customWidth="1"/>
    <col min="2565" max="2565" width="19.7109375" style="4" customWidth="1"/>
    <col min="2566" max="2566" width="17.140625" style="4" customWidth="1"/>
    <col min="2567" max="2567" width="15.85546875" style="4" customWidth="1"/>
    <col min="2568" max="2568" width="10.140625" style="4" customWidth="1"/>
    <col min="2569" max="2569" width="13.85546875" style="4" customWidth="1"/>
    <col min="2570" max="2570" width="7.42578125" style="4" customWidth="1"/>
    <col min="2571" max="2816" width="9.28515625" style="4"/>
    <col min="2817" max="2817" width="8.5703125" style="4" customWidth="1"/>
    <col min="2818" max="2819" width="10.28515625" style="4" customWidth="1"/>
    <col min="2820" max="2820" width="9.42578125" style="4" customWidth="1"/>
    <col min="2821" max="2821" width="19.7109375" style="4" customWidth="1"/>
    <col min="2822" max="2822" width="17.140625" style="4" customWidth="1"/>
    <col min="2823" max="2823" width="15.85546875" style="4" customWidth="1"/>
    <col min="2824" max="2824" width="10.140625" style="4" customWidth="1"/>
    <col min="2825" max="2825" width="13.85546875" style="4" customWidth="1"/>
    <col min="2826" max="2826" width="7.42578125" style="4" customWidth="1"/>
    <col min="2827" max="3072" width="9.28515625" style="4"/>
    <col min="3073" max="3073" width="8.5703125" style="4" customWidth="1"/>
    <col min="3074" max="3075" width="10.28515625" style="4" customWidth="1"/>
    <col min="3076" max="3076" width="9.42578125" style="4" customWidth="1"/>
    <col min="3077" max="3077" width="19.7109375" style="4" customWidth="1"/>
    <col min="3078" max="3078" width="17.140625" style="4" customWidth="1"/>
    <col min="3079" max="3079" width="15.85546875" style="4" customWidth="1"/>
    <col min="3080" max="3080" width="10.140625" style="4" customWidth="1"/>
    <col min="3081" max="3081" width="13.85546875" style="4" customWidth="1"/>
    <col min="3082" max="3082" width="7.42578125" style="4" customWidth="1"/>
    <col min="3083" max="3328" width="9.28515625" style="4"/>
    <col min="3329" max="3329" width="8.5703125" style="4" customWidth="1"/>
    <col min="3330" max="3331" width="10.28515625" style="4" customWidth="1"/>
    <col min="3332" max="3332" width="9.42578125" style="4" customWidth="1"/>
    <col min="3333" max="3333" width="19.7109375" style="4" customWidth="1"/>
    <col min="3334" max="3334" width="17.140625" style="4" customWidth="1"/>
    <col min="3335" max="3335" width="15.85546875" style="4" customWidth="1"/>
    <col min="3336" max="3336" width="10.140625" style="4" customWidth="1"/>
    <col min="3337" max="3337" width="13.85546875" style="4" customWidth="1"/>
    <col min="3338" max="3338" width="7.42578125" style="4" customWidth="1"/>
    <col min="3339" max="3584" width="9.28515625" style="4"/>
    <col min="3585" max="3585" width="8.5703125" style="4" customWidth="1"/>
    <col min="3586" max="3587" width="10.28515625" style="4" customWidth="1"/>
    <col min="3588" max="3588" width="9.42578125" style="4" customWidth="1"/>
    <col min="3589" max="3589" width="19.7109375" style="4" customWidth="1"/>
    <col min="3590" max="3590" width="17.140625" style="4" customWidth="1"/>
    <col min="3591" max="3591" width="15.85546875" style="4" customWidth="1"/>
    <col min="3592" max="3592" width="10.140625" style="4" customWidth="1"/>
    <col min="3593" max="3593" width="13.85546875" style="4" customWidth="1"/>
    <col min="3594" max="3594" width="7.42578125" style="4" customWidth="1"/>
    <col min="3595" max="3840" width="9.28515625" style="4"/>
    <col min="3841" max="3841" width="8.5703125" style="4" customWidth="1"/>
    <col min="3842" max="3843" width="10.28515625" style="4" customWidth="1"/>
    <col min="3844" max="3844" width="9.42578125" style="4" customWidth="1"/>
    <col min="3845" max="3845" width="19.7109375" style="4" customWidth="1"/>
    <col min="3846" max="3846" width="17.140625" style="4" customWidth="1"/>
    <col min="3847" max="3847" width="15.85546875" style="4" customWidth="1"/>
    <col min="3848" max="3848" width="10.140625" style="4" customWidth="1"/>
    <col min="3849" max="3849" width="13.85546875" style="4" customWidth="1"/>
    <col min="3850" max="3850" width="7.42578125" style="4" customWidth="1"/>
    <col min="3851" max="4096" width="9.28515625" style="4"/>
    <col min="4097" max="4097" width="8.5703125" style="4" customWidth="1"/>
    <col min="4098" max="4099" width="10.28515625" style="4" customWidth="1"/>
    <col min="4100" max="4100" width="9.42578125" style="4" customWidth="1"/>
    <col min="4101" max="4101" width="19.7109375" style="4" customWidth="1"/>
    <col min="4102" max="4102" width="17.140625" style="4" customWidth="1"/>
    <col min="4103" max="4103" width="15.85546875" style="4" customWidth="1"/>
    <col min="4104" max="4104" width="10.140625" style="4" customWidth="1"/>
    <col min="4105" max="4105" width="13.85546875" style="4" customWidth="1"/>
    <col min="4106" max="4106" width="7.42578125" style="4" customWidth="1"/>
    <col min="4107" max="4352" width="9.28515625" style="4"/>
    <col min="4353" max="4353" width="8.5703125" style="4" customWidth="1"/>
    <col min="4354" max="4355" width="10.28515625" style="4" customWidth="1"/>
    <col min="4356" max="4356" width="9.42578125" style="4" customWidth="1"/>
    <col min="4357" max="4357" width="19.7109375" style="4" customWidth="1"/>
    <col min="4358" max="4358" width="17.140625" style="4" customWidth="1"/>
    <col min="4359" max="4359" width="15.85546875" style="4" customWidth="1"/>
    <col min="4360" max="4360" width="10.140625" style="4" customWidth="1"/>
    <col min="4361" max="4361" width="13.85546875" style="4" customWidth="1"/>
    <col min="4362" max="4362" width="7.42578125" style="4" customWidth="1"/>
    <col min="4363" max="4608" width="9.28515625" style="4"/>
    <col min="4609" max="4609" width="8.5703125" style="4" customWidth="1"/>
    <col min="4610" max="4611" width="10.28515625" style="4" customWidth="1"/>
    <col min="4612" max="4612" width="9.42578125" style="4" customWidth="1"/>
    <col min="4613" max="4613" width="19.7109375" style="4" customWidth="1"/>
    <col min="4614" max="4614" width="17.140625" style="4" customWidth="1"/>
    <col min="4615" max="4615" width="15.85546875" style="4" customWidth="1"/>
    <col min="4616" max="4616" width="10.140625" style="4" customWidth="1"/>
    <col min="4617" max="4617" width="13.85546875" style="4" customWidth="1"/>
    <col min="4618" max="4618" width="7.42578125" style="4" customWidth="1"/>
    <col min="4619" max="4864" width="9.28515625" style="4"/>
    <col min="4865" max="4865" width="8.5703125" style="4" customWidth="1"/>
    <col min="4866" max="4867" width="10.28515625" style="4" customWidth="1"/>
    <col min="4868" max="4868" width="9.42578125" style="4" customWidth="1"/>
    <col min="4869" max="4869" width="19.7109375" style="4" customWidth="1"/>
    <col min="4870" max="4870" width="17.140625" style="4" customWidth="1"/>
    <col min="4871" max="4871" width="15.85546875" style="4" customWidth="1"/>
    <col min="4872" max="4872" width="10.140625" style="4" customWidth="1"/>
    <col min="4873" max="4873" width="13.85546875" style="4" customWidth="1"/>
    <col min="4874" max="4874" width="7.42578125" style="4" customWidth="1"/>
    <col min="4875" max="5120" width="9.28515625" style="4"/>
    <col min="5121" max="5121" width="8.5703125" style="4" customWidth="1"/>
    <col min="5122" max="5123" width="10.28515625" style="4" customWidth="1"/>
    <col min="5124" max="5124" width="9.42578125" style="4" customWidth="1"/>
    <col min="5125" max="5125" width="19.7109375" style="4" customWidth="1"/>
    <col min="5126" max="5126" width="17.140625" style="4" customWidth="1"/>
    <col min="5127" max="5127" width="15.85546875" style="4" customWidth="1"/>
    <col min="5128" max="5128" width="10.140625" style="4" customWidth="1"/>
    <col min="5129" max="5129" width="13.85546875" style="4" customWidth="1"/>
    <col min="5130" max="5130" width="7.42578125" style="4" customWidth="1"/>
    <col min="5131" max="5376" width="9.28515625" style="4"/>
    <col min="5377" max="5377" width="8.5703125" style="4" customWidth="1"/>
    <col min="5378" max="5379" width="10.28515625" style="4" customWidth="1"/>
    <col min="5380" max="5380" width="9.42578125" style="4" customWidth="1"/>
    <col min="5381" max="5381" width="19.7109375" style="4" customWidth="1"/>
    <col min="5382" max="5382" width="17.140625" style="4" customWidth="1"/>
    <col min="5383" max="5383" width="15.85546875" style="4" customWidth="1"/>
    <col min="5384" max="5384" width="10.140625" style="4" customWidth="1"/>
    <col min="5385" max="5385" width="13.85546875" style="4" customWidth="1"/>
    <col min="5386" max="5386" width="7.42578125" style="4" customWidth="1"/>
    <col min="5387" max="5632" width="9.28515625" style="4"/>
    <col min="5633" max="5633" width="8.5703125" style="4" customWidth="1"/>
    <col min="5634" max="5635" width="10.28515625" style="4" customWidth="1"/>
    <col min="5636" max="5636" width="9.42578125" style="4" customWidth="1"/>
    <col min="5637" max="5637" width="19.7109375" style="4" customWidth="1"/>
    <col min="5638" max="5638" width="17.140625" style="4" customWidth="1"/>
    <col min="5639" max="5639" width="15.85546875" style="4" customWidth="1"/>
    <col min="5640" max="5640" width="10.140625" style="4" customWidth="1"/>
    <col min="5641" max="5641" width="13.85546875" style="4" customWidth="1"/>
    <col min="5642" max="5642" width="7.42578125" style="4" customWidth="1"/>
    <col min="5643" max="5888" width="9.28515625" style="4"/>
    <col min="5889" max="5889" width="8.5703125" style="4" customWidth="1"/>
    <col min="5890" max="5891" width="10.28515625" style="4" customWidth="1"/>
    <col min="5892" max="5892" width="9.42578125" style="4" customWidth="1"/>
    <col min="5893" max="5893" width="19.7109375" style="4" customWidth="1"/>
    <col min="5894" max="5894" width="17.140625" style="4" customWidth="1"/>
    <col min="5895" max="5895" width="15.85546875" style="4" customWidth="1"/>
    <col min="5896" max="5896" width="10.140625" style="4" customWidth="1"/>
    <col min="5897" max="5897" width="13.85546875" style="4" customWidth="1"/>
    <col min="5898" max="5898" width="7.42578125" style="4" customWidth="1"/>
    <col min="5899" max="6144" width="9.28515625" style="4"/>
    <col min="6145" max="6145" width="8.5703125" style="4" customWidth="1"/>
    <col min="6146" max="6147" width="10.28515625" style="4" customWidth="1"/>
    <col min="6148" max="6148" width="9.42578125" style="4" customWidth="1"/>
    <col min="6149" max="6149" width="19.7109375" style="4" customWidth="1"/>
    <col min="6150" max="6150" width="17.140625" style="4" customWidth="1"/>
    <col min="6151" max="6151" width="15.85546875" style="4" customWidth="1"/>
    <col min="6152" max="6152" width="10.140625" style="4" customWidth="1"/>
    <col min="6153" max="6153" width="13.85546875" style="4" customWidth="1"/>
    <col min="6154" max="6154" width="7.42578125" style="4" customWidth="1"/>
    <col min="6155" max="6400" width="9.28515625" style="4"/>
    <col min="6401" max="6401" width="8.5703125" style="4" customWidth="1"/>
    <col min="6402" max="6403" width="10.28515625" style="4" customWidth="1"/>
    <col min="6404" max="6404" width="9.42578125" style="4" customWidth="1"/>
    <col min="6405" max="6405" width="19.7109375" style="4" customWidth="1"/>
    <col min="6406" max="6406" width="17.140625" style="4" customWidth="1"/>
    <col min="6407" max="6407" width="15.85546875" style="4" customWidth="1"/>
    <col min="6408" max="6408" width="10.140625" style="4" customWidth="1"/>
    <col min="6409" max="6409" width="13.85546875" style="4" customWidth="1"/>
    <col min="6410" max="6410" width="7.42578125" style="4" customWidth="1"/>
    <col min="6411" max="6656" width="9.28515625" style="4"/>
    <col min="6657" max="6657" width="8.5703125" style="4" customWidth="1"/>
    <col min="6658" max="6659" width="10.28515625" style="4" customWidth="1"/>
    <col min="6660" max="6660" width="9.42578125" style="4" customWidth="1"/>
    <col min="6661" max="6661" width="19.7109375" style="4" customWidth="1"/>
    <col min="6662" max="6662" width="17.140625" style="4" customWidth="1"/>
    <col min="6663" max="6663" width="15.85546875" style="4" customWidth="1"/>
    <col min="6664" max="6664" width="10.140625" style="4" customWidth="1"/>
    <col min="6665" max="6665" width="13.85546875" style="4" customWidth="1"/>
    <col min="6666" max="6666" width="7.42578125" style="4" customWidth="1"/>
    <col min="6667" max="6912" width="9.28515625" style="4"/>
    <col min="6913" max="6913" width="8.5703125" style="4" customWidth="1"/>
    <col min="6914" max="6915" width="10.28515625" style="4" customWidth="1"/>
    <col min="6916" max="6916" width="9.42578125" style="4" customWidth="1"/>
    <col min="6917" max="6917" width="19.7109375" style="4" customWidth="1"/>
    <col min="6918" max="6918" width="17.140625" style="4" customWidth="1"/>
    <col min="6919" max="6919" width="15.85546875" style="4" customWidth="1"/>
    <col min="6920" max="6920" width="10.140625" style="4" customWidth="1"/>
    <col min="6921" max="6921" width="13.85546875" style="4" customWidth="1"/>
    <col min="6922" max="6922" width="7.42578125" style="4" customWidth="1"/>
    <col min="6923" max="7168" width="9.28515625" style="4"/>
    <col min="7169" max="7169" width="8.5703125" style="4" customWidth="1"/>
    <col min="7170" max="7171" width="10.28515625" style="4" customWidth="1"/>
    <col min="7172" max="7172" width="9.42578125" style="4" customWidth="1"/>
    <col min="7173" max="7173" width="19.7109375" style="4" customWidth="1"/>
    <col min="7174" max="7174" width="17.140625" style="4" customWidth="1"/>
    <col min="7175" max="7175" width="15.85546875" style="4" customWidth="1"/>
    <col min="7176" max="7176" width="10.140625" style="4" customWidth="1"/>
    <col min="7177" max="7177" width="13.85546875" style="4" customWidth="1"/>
    <col min="7178" max="7178" width="7.42578125" style="4" customWidth="1"/>
    <col min="7179" max="7424" width="9.28515625" style="4"/>
    <col min="7425" max="7425" width="8.5703125" style="4" customWidth="1"/>
    <col min="7426" max="7427" width="10.28515625" style="4" customWidth="1"/>
    <col min="7428" max="7428" width="9.42578125" style="4" customWidth="1"/>
    <col min="7429" max="7429" width="19.7109375" style="4" customWidth="1"/>
    <col min="7430" max="7430" width="17.140625" style="4" customWidth="1"/>
    <col min="7431" max="7431" width="15.85546875" style="4" customWidth="1"/>
    <col min="7432" max="7432" width="10.140625" style="4" customWidth="1"/>
    <col min="7433" max="7433" width="13.85546875" style="4" customWidth="1"/>
    <col min="7434" max="7434" width="7.42578125" style="4" customWidth="1"/>
    <col min="7435" max="7680" width="9.28515625" style="4"/>
    <col min="7681" max="7681" width="8.5703125" style="4" customWidth="1"/>
    <col min="7682" max="7683" width="10.28515625" style="4" customWidth="1"/>
    <col min="7684" max="7684" width="9.42578125" style="4" customWidth="1"/>
    <col min="7685" max="7685" width="19.7109375" style="4" customWidth="1"/>
    <col min="7686" max="7686" width="17.140625" style="4" customWidth="1"/>
    <col min="7687" max="7687" width="15.85546875" style="4" customWidth="1"/>
    <col min="7688" max="7688" width="10.140625" style="4" customWidth="1"/>
    <col min="7689" max="7689" width="13.85546875" style="4" customWidth="1"/>
    <col min="7690" max="7690" width="7.42578125" style="4" customWidth="1"/>
    <col min="7691" max="7936" width="9.28515625" style="4"/>
    <col min="7937" max="7937" width="8.5703125" style="4" customWidth="1"/>
    <col min="7938" max="7939" width="10.28515625" style="4" customWidth="1"/>
    <col min="7940" max="7940" width="9.42578125" style="4" customWidth="1"/>
    <col min="7941" max="7941" width="19.7109375" style="4" customWidth="1"/>
    <col min="7942" max="7942" width="17.140625" style="4" customWidth="1"/>
    <col min="7943" max="7943" width="15.85546875" style="4" customWidth="1"/>
    <col min="7944" max="7944" width="10.140625" style="4" customWidth="1"/>
    <col min="7945" max="7945" width="13.85546875" style="4" customWidth="1"/>
    <col min="7946" max="7946" width="7.42578125" style="4" customWidth="1"/>
    <col min="7947" max="8192" width="9.28515625" style="4"/>
    <col min="8193" max="8193" width="8.5703125" style="4" customWidth="1"/>
    <col min="8194" max="8195" width="10.28515625" style="4" customWidth="1"/>
    <col min="8196" max="8196" width="9.42578125" style="4" customWidth="1"/>
    <col min="8197" max="8197" width="19.7109375" style="4" customWidth="1"/>
    <col min="8198" max="8198" width="17.140625" style="4" customWidth="1"/>
    <col min="8199" max="8199" width="15.85546875" style="4" customWidth="1"/>
    <col min="8200" max="8200" width="10.140625" style="4" customWidth="1"/>
    <col min="8201" max="8201" width="13.85546875" style="4" customWidth="1"/>
    <col min="8202" max="8202" width="7.42578125" style="4" customWidth="1"/>
    <col min="8203" max="8448" width="9.28515625" style="4"/>
    <col min="8449" max="8449" width="8.5703125" style="4" customWidth="1"/>
    <col min="8450" max="8451" width="10.28515625" style="4" customWidth="1"/>
    <col min="8452" max="8452" width="9.42578125" style="4" customWidth="1"/>
    <col min="8453" max="8453" width="19.7109375" style="4" customWidth="1"/>
    <col min="8454" max="8454" width="17.140625" style="4" customWidth="1"/>
    <col min="8455" max="8455" width="15.85546875" style="4" customWidth="1"/>
    <col min="8456" max="8456" width="10.140625" style="4" customWidth="1"/>
    <col min="8457" max="8457" width="13.85546875" style="4" customWidth="1"/>
    <col min="8458" max="8458" width="7.42578125" style="4" customWidth="1"/>
    <col min="8459" max="8704" width="9.28515625" style="4"/>
    <col min="8705" max="8705" width="8.5703125" style="4" customWidth="1"/>
    <col min="8706" max="8707" width="10.28515625" style="4" customWidth="1"/>
    <col min="8708" max="8708" width="9.42578125" style="4" customWidth="1"/>
    <col min="8709" max="8709" width="19.7109375" style="4" customWidth="1"/>
    <col min="8710" max="8710" width="17.140625" style="4" customWidth="1"/>
    <col min="8711" max="8711" width="15.85546875" style="4" customWidth="1"/>
    <col min="8712" max="8712" width="10.140625" style="4" customWidth="1"/>
    <col min="8713" max="8713" width="13.85546875" style="4" customWidth="1"/>
    <col min="8714" max="8714" width="7.42578125" style="4" customWidth="1"/>
    <col min="8715" max="8960" width="9.28515625" style="4"/>
    <col min="8961" max="8961" width="8.5703125" style="4" customWidth="1"/>
    <col min="8962" max="8963" width="10.28515625" style="4" customWidth="1"/>
    <col min="8964" max="8964" width="9.42578125" style="4" customWidth="1"/>
    <col min="8965" max="8965" width="19.7109375" style="4" customWidth="1"/>
    <col min="8966" max="8966" width="17.140625" style="4" customWidth="1"/>
    <col min="8967" max="8967" width="15.85546875" style="4" customWidth="1"/>
    <col min="8968" max="8968" width="10.140625" style="4" customWidth="1"/>
    <col min="8969" max="8969" width="13.85546875" style="4" customWidth="1"/>
    <col min="8970" max="8970" width="7.42578125" style="4" customWidth="1"/>
    <col min="8971" max="9216" width="9.28515625" style="4"/>
    <col min="9217" max="9217" width="8.5703125" style="4" customWidth="1"/>
    <col min="9218" max="9219" width="10.28515625" style="4" customWidth="1"/>
    <col min="9220" max="9220" width="9.42578125" style="4" customWidth="1"/>
    <col min="9221" max="9221" width="19.7109375" style="4" customWidth="1"/>
    <col min="9222" max="9222" width="17.140625" style="4" customWidth="1"/>
    <col min="9223" max="9223" width="15.85546875" style="4" customWidth="1"/>
    <col min="9224" max="9224" width="10.140625" style="4" customWidth="1"/>
    <col min="9225" max="9225" width="13.85546875" style="4" customWidth="1"/>
    <col min="9226" max="9226" width="7.42578125" style="4" customWidth="1"/>
    <col min="9227" max="9472" width="9.28515625" style="4"/>
    <col min="9473" max="9473" width="8.5703125" style="4" customWidth="1"/>
    <col min="9474" max="9475" width="10.28515625" style="4" customWidth="1"/>
    <col min="9476" max="9476" width="9.42578125" style="4" customWidth="1"/>
    <col min="9477" max="9477" width="19.7109375" style="4" customWidth="1"/>
    <col min="9478" max="9478" width="17.140625" style="4" customWidth="1"/>
    <col min="9479" max="9479" width="15.85546875" style="4" customWidth="1"/>
    <col min="9480" max="9480" width="10.140625" style="4" customWidth="1"/>
    <col min="9481" max="9481" width="13.85546875" style="4" customWidth="1"/>
    <col min="9482" max="9482" width="7.42578125" style="4" customWidth="1"/>
    <col min="9483" max="9728" width="9.28515625" style="4"/>
    <col min="9729" max="9729" width="8.5703125" style="4" customWidth="1"/>
    <col min="9730" max="9731" width="10.28515625" style="4" customWidth="1"/>
    <col min="9732" max="9732" width="9.42578125" style="4" customWidth="1"/>
    <col min="9733" max="9733" width="19.7109375" style="4" customWidth="1"/>
    <col min="9734" max="9734" width="17.140625" style="4" customWidth="1"/>
    <col min="9735" max="9735" width="15.85546875" style="4" customWidth="1"/>
    <col min="9736" max="9736" width="10.140625" style="4" customWidth="1"/>
    <col min="9737" max="9737" width="13.85546875" style="4" customWidth="1"/>
    <col min="9738" max="9738" width="7.42578125" style="4" customWidth="1"/>
    <col min="9739" max="9984" width="9.28515625" style="4"/>
    <col min="9985" max="9985" width="8.5703125" style="4" customWidth="1"/>
    <col min="9986" max="9987" width="10.28515625" style="4" customWidth="1"/>
    <col min="9988" max="9988" width="9.42578125" style="4" customWidth="1"/>
    <col min="9989" max="9989" width="19.7109375" style="4" customWidth="1"/>
    <col min="9990" max="9990" width="17.140625" style="4" customWidth="1"/>
    <col min="9991" max="9991" width="15.85546875" style="4" customWidth="1"/>
    <col min="9992" max="9992" width="10.140625" style="4" customWidth="1"/>
    <col min="9993" max="9993" width="13.85546875" style="4" customWidth="1"/>
    <col min="9994" max="9994" width="7.42578125" style="4" customWidth="1"/>
    <col min="9995" max="10240" width="9.28515625" style="4"/>
    <col min="10241" max="10241" width="8.5703125" style="4" customWidth="1"/>
    <col min="10242" max="10243" width="10.28515625" style="4" customWidth="1"/>
    <col min="10244" max="10244" width="9.42578125" style="4" customWidth="1"/>
    <col min="10245" max="10245" width="19.7109375" style="4" customWidth="1"/>
    <col min="10246" max="10246" width="17.140625" style="4" customWidth="1"/>
    <col min="10247" max="10247" width="15.85546875" style="4" customWidth="1"/>
    <col min="10248" max="10248" width="10.140625" style="4" customWidth="1"/>
    <col min="10249" max="10249" width="13.85546875" style="4" customWidth="1"/>
    <col min="10250" max="10250" width="7.42578125" style="4" customWidth="1"/>
    <col min="10251" max="10496" width="9.28515625" style="4"/>
    <col min="10497" max="10497" width="8.5703125" style="4" customWidth="1"/>
    <col min="10498" max="10499" width="10.28515625" style="4" customWidth="1"/>
    <col min="10500" max="10500" width="9.42578125" style="4" customWidth="1"/>
    <col min="10501" max="10501" width="19.7109375" style="4" customWidth="1"/>
    <col min="10502" max="10502" width="17.140625" style="4" customWidth="1"/>
    <col min="10503" max="10503" width="15.85546875" style="4" customWidth="1"/>
    <col min="10504" max="10504" width="10.140625" style="4" customWidth="1"/>
    <col min="10505" max="10505" width="13.85546875" style="4" customWidth="1"/>
    <col min="10506" max="10506" width="7.42578125" style="4" customWidth="1"/>
    <col min="10507" max="10752" width="9.28515625" style="4"/>
    <col min="10753" max="10753" width="8.5703125" style="4" customWidth="1"/>
    <col min="10754" max="10755" width="10.28515625" style="4" customWidth="1"/>
    <col min="10756" max="10756" width="9.42578125" style="4" customWidth="1"/>
    <col min="10757" max="10757" width="19.7109375" style="4" customWidth="1"/>
    <col min="10758" max="10758" width="17.140625" style="4" customWidth="1"/>
    <col min="10759" max="10759" width="15.85546875" style="4" customWidth="1"/>
    <col min="10760" max="10760" width="10.140625" style="4" customWidth="1"/>
    <col min="10761" max="10761" width="13.85546875" style="4" customWidth="1"/>
    <col min="10762" max="10762" width="7.42578125" style="4" customWidth="1"/>
    <col min="10763" max="11008" width="9.28515625" style="4"/>
    <col min="11009" max="11009" width="8.5703125" style="4" customWidth="1"/>
    <col min="11010" max="11011" width="10.28515625" style="4" customWidth="1"/>
    <col min="11012" max="11012" width="9.42578125" style="4" customWidth="1"/>
    <col min="11013" max="11013" width="19.7109375" style="4" customWidth="1"/>
    <col min="11014" max="11014" width="17.140625" style="4" customWidth="1"/>
    <col min="11015" max="11015" width="15.85546875" style="4" customWidth="1"/>
    <col min="11016" max="11016" width="10.140625" style="4" customWidth="1"/>
    <col min="11017" max="11017" width="13.85546875" style="4" customWidth="1"/>
    <col min="11018" max="11018" width="7.42578125" style="4" customWidth="1"/>
    <col min="11019" max="11264" width="9.28515625" style="4"/>
    <col min="11265" max="11265" width="8.5703125" style="4" customWidth="1"/>
    <col min="11266" max="11267" width="10.28515625" style="4" customWidth="1"/>
    <col min="11268" max="11268" width="9.42578125" style="4" customWidth="1"/>
    <col min="11269" max="11269" width="19.7109375" style="4" customWidth="1"/>
    <col min="11270" max="11270" width="17.140625" style="4" customWidth="1"/>
    <col min="11271" max="11271" width="15.85546875" style="4" customWidth="1"/>
    <col min="11272" max="11272" width="10.140625" style="4" customWidth="1"/>
    <col min="11273" max="11273" width="13.85546875" style="4" customWidth="1"/>
    <col min="11274" max="11274" width="7.42578125" style="4" customWidth="1"/>
    <col min="11275" max="11520" width="9.28515625" style="4"/>
    <col min="11521" max="11521" width="8.5703125" style="4" customWidth="1"/>
    <col min="11522" max="11523" width="10.28515625" style="4" customWidth="1"/>
    <col min="11524" max="11524" width="9.42578125" style="4" customWidth="1"/>
    <col min="11525" max="11525" width="19.7109375" style="4" customWidth="1"/>
    <col min="11526" max="11526" width="17.140625" style="4" customWidth="1"/>
    <col min="11527" max="11527" width="15.85546875" style="4" customWidth="1"/>
    <col min="11528" max="11528" width="10.140625" style="4" customWidth="1"/>
    <col min="11529" max="11529" width="13.85546875" style="4" customWidth="1"/>
    <col min="11530" max="11530" width="7.42578125" style="4" customWidth="1"/>
    <col min="11531" max="11776" width="9.28515625" style="4"/>
    <col min="11777" max="11777" width="8.5703125" style="4" customWidth="1"/>
    <col min="11778" max="11779" width="10.28515625" style="4" customWidth="1"/>
    <col min="11780" max="11780" width="9.42578125" style="4" customWidth="1"/>
    <col min="11781" max="11781" width="19.7109375" style="4" customWidth="1"/>
    <col min="11782" max="11782" width="17.140625" style="4" customWidth="1"/>
    <col min="11783" max="11783" width="15.85546875" style="4" customWidth="1"/>
    <col min="11784" max="11784" width="10.140625" style="4" customWidth="1"/>
    <col min="11785" max="11785" width="13.85546875" style="4" customWidth="1"/>
    <col min="11786" max="11786" width="7.42578125" style="4" customWidth="1"/>
    <col min="11787" max="12032" width="9.28515625" style="4"/>
    <col min="12033" max="12033" width="8.5703125" style="4" customWidth="1"/>
    <col min="12034" max="12035" width="10.28515625" style="4" customWidth="1"/>
    <col min="12036" max="12036" width="9.42578125" style="4" customWidth="1"/>
    <col min="12037" max="12037" width="19.7109375" style="4" customWidth="1"/>
    <col min="12038" max="12038" width="17.140625" style="4" customWidth="1"/>
    <col min="12039" max="12039" width="15.85546875" style="4" customWidth="1"/>
    <col min="12040" max="12040" width="10.140625" style="4" customWidth="1"/>
    <col min="12041" max="12041" width="13.85546875" style="4" customWidth="1"/>
    <col min="12042" max="12042" width="7.42578125" style="4" customWidth="1"/>
    <col min="12043" max="12288" width="9.28515625" style="4"/>
    <col min="12289" max="12289" width="8.5703125" style="4" customWidth="1"/>
    <col min="12290" max="12291" width="10.28515625" style="4" customWidth="1"/>
    <col min="12292" max="12292" width="9.42578125" style="4" customWidth="1"/>
    <col min="12293" max="12293" width="19.7109375" style="4" customWidth="1"/>
    <col min="12294" max="12294" width="17.140625" style="4" customWidth="1"/>
    <col min="12295" max="12295" width="15.85546875" style="4" customWidth="1"/>
    <col min="12296" max="12296" width="10.140625" style="4" customWidth="1"/>
    <col min="12297" max="12297" width="13.85546875" style="4" customWidth="1"/>
    <col min="12298" max="12298" width="7.42578125" style="4" customWidth="1"/>
    <col min="12299" max="12544" width="9.28515625" style="4"/>
    <col min="12545" max="12545" width="8.5703125" style="4" customWidth="1"/>
    <col min="12546" max="12547" width="10.28515625" style="4" customWidth="1"/>
    <col min="12548" max="12548" width="9.42578125" style="4" customWidth="1"/>
    <col min="12549" max="12549" width="19.7109375" style="4" customWidth="1"/>
    <col min="12550" max="12550" width="17.140625" style="4" customWidth="1"/>
    <col min="12551" max="12551" width="15.85546875" style="4" customWidth="1"/>
    <col min="12552" max="12552" width="10.140625" style="4" customWidth="1"/>
    <col min="12553" max="12553" width="13.85546875" style="4" customWidth="1"/>
    <col min="12554" max="12554" width="7.42578125" style="4" customWidth="1"/>
    <col min="12555" max="12800" width="9.28515625" style="4"/>
    <col min="12801" max="12801" width="8.5703125" style="4" customWidth="1"/>
    <col min="12802" max="12803" width="10.28515625" style="4" customWidth="1"/>
    <col min="12804" max="12804" width="9.42578125" style="4" customWidth="1"/>
    <col min="12805" max="12805" width="19.7109375" style="4" customWidth="1"/>
    <col min="12806" max="12806" width="17.140625" style="4" customWidth="1"/>
    <col min="12807" max="12807" width="15.85546875" style="4" customWidth="1"/>
    <col min="12808" max="12808" width="10.140625" style="4" customWidth="1"/>
    <col min="12809" max="12809" width="13.85546875" style="4" customWidth="1"/>
    <col min="12810" max="12810" width="7.42578125" style="4" customWidth="1"/>
    <col min="12811" max="13056" width="9.28515625" style="4"/>
    <col min="13057" max="13057" width="8.5703125" style="4" customWidth="1"/>
    <col min="13058" max="13059" width="10.28515625" style="4" customWidth="1"/>
    <col min="13060" max="13060" width="9.42578125" style="4" customWidth="1"/>
    <col min="13061" max="13061" width="19.7109375" style="4" customWidth="1"/>
    <col min="13062" max="13062" width="17.140625" style="4" customWidth="1"/>
    <col min="13063" max="13063" width="15.85546875" style="4" customWidth="1"/>
    <col min="13064" max="13064" width="10.140625" style="4" customWidth="1"/>
    <col min="13065" max="13065" width="13.85546875" style="4" customWidth="1"/>
    <col min="13066" max="13066" width="7.42578125" style="4" customWidth="1"/>
    <col min="13067" max="13312" width="9.28515625" style="4"/>
    <col min="13313" max="13313" width="8.5703125" style="4" customWidth="1"/>
    <col min="13314" max="13315" width="10.28515625" style="4" customWidth="1"/>
    <col min="13316" max="13316" width="9.42578125" style="4" customWidth="1"/>
    <col min="13317" max="13317" width="19.7109375" style="4" customWidth="1"/>
    <col min="13318" max="13318" width="17.140625" style="4" customWidth="1"/>
    <col min="13319" max="13319" width="15.85546875" style="4" customWidth="1"/>
    <col min="13320" max="13320" width="10.140625" style="4" customWidth="1"/>
    <col min="13321" max="13321" width="13.85546875" style="4" customWidth="1"/>
    <col min="13322" max="13322" width="7.42578125" style="4" customWidth="1"/>
    <col min="13323" max="13568" width="9.28515625" style="4"/>
    <col min="13569" max="13569" width="8.5703125" style="4" customWidth="1"/>
    <col min="13570" max="13571" width="10.28515625" style="4" customWidth="1"/>
    <col min="13572" max="13572" width="9.42578125" style="4" customWidth="1"/>
    <col min="13573" max="13573" width="19.7109375" style="4" customWidth="1"/>
    <col min="13574" max="13574" width="17.140625" style="4" customWidth="1"/>
    <col min="13575" max="13575" width="15.85546875" style="4" customWidth="1"/>
    <col min="13576" max="13576" width="10.140625" style="4" customWidth="1"/>
    <col min="13577" max="13577" width="13.85546875" style="4" customWidth="1"/>
    <col min="13578" max="13578" width="7.42578125" style="4" customWidth="1"/>
    <col min="13579" max="13824" width="9.28515625" style="4"/>
    <col min="13825" max="13825" width="8.5703125" style="4" customWidth="1"/>
    <col min="13826" max="13827" width="10.28515625" style="4" customWidth="1"/>
    <col min="13828" max="13828" width="9.42578125" style="4" customWidth="1"/>
    <col min="13829" max="13829" width="19.7109375" style="4" customWidth="1"/>
    <col min="13830" max="13830" width="17.140625" style="4" customWidth="1"/>
    <col min="13831" max="13831" width="15.85546875" style="4" customWidth="1"/>
    <col min="13832" max="13832" width="10.140625" style="4" customWidth="1"/>
    <col min="13833" max="13833" width="13.85546875" style="4" customWidth="1"/>
    <col min="13834" max="13834" width="7.42578125" style="4" customWidth="1"/>
    <col min="13835" max="14080" width="9.28515625" style="4"/>
    <col min="14081" max="14081" width="8.5703125" style="4" customWidth="1"/>
    <col min="14082" max="14083" width="10.28515625" style="4" customWidth="1"/>
    <col min="14084" max="14084" width="9.42578125" style="4" customWidth="1"/>
    <col min="14085" max="14085" width="19.7109375" style="4" customWidth="1"/>
    <col min="14086" max="14086" width="17.140625" style="4" customWidth="1"/>
    <col min="14087" max="14087" width="15.85546875" style="4" customWidth="1"/>
    <col min="14088" max="14088" width="10.140625" style="4" customWidth="1"/>
    <col min="14089" max="14089" width="13.85546875" style="4" customWidth="1"/>
    <col min="14090" max="14090" width="7.42578125" style="4" customWidth="1"/>
    <col min="14091" max="14336" width="9.28515625" style="4"/>
    <col min="14337" max="14337" width="8.5703125" style="4" customWidth="1"/>
    <col min="14338" max="14339" width="10.28515625" style="4" customWidth="1"/>
    <col min="14340" max="14340" width="9.42578125" style="4" customWidth="1"/>
    <col min="14341" max="14341" width="19.7109375" style="4" customWidth="1"/>
    <col min="14342" max="14342" width="17.140625" style="4" customWidth="1"/>
    <col min="14343" max="14343" width="15.85546875" style="4" customWidth="1"/>
    <col min="14344" max="14344" width="10.140625" style="4" customWidth="1"/>
    <col min="14345" max="14345" width="13.85546875" style="4" customWidth="1"/>
    <col min="14346" max="14346" width="7.42578125" style="4" customWidth="1"/>
    <col min="14347" max="14592" width="9.28515625" style="4"/>
    <col min="14593" max="14593" width="8.5703125" style="4" customWidth="1"/>
    <col min="14594" max="14595" width="10.28515625" style="4" customWidth="1"/>
    <col min="14596" max="14596" width="9.42578125" style="4" customWidth="1"/>
    <col min="14597" max="14597" width="19.7109375" style="4" customWidth="1"/>
    <col min="14598" max="14598" width="17.140625" style="4" customWidth="1"/>
    <col min="14599" max="14599" width="15.85546875" style="4" customWidth="1"/>
    <col min="14600" max="14600" width="10.140625" style="4" customWidth="1"/>
    <col min="14601" max="14601" width="13.85546875" style="4" customWidth="1"/>
    <col min="14602" max="14602" width="7.42578125" style="4" customWidth="1"/>
    <col min="14603" max="14848" width="9.28515625" style="4"/>
    <col min="14849" max="14849" width="8.5703125" style="4" customWidth="1"/>
    <col min="14850" max="14851" width="10.28515625" style="4" customWidth="1"/>
    <col min="14852" max="14852" width="9.42578125" style="4" customWidth="1"/>
    <col min="14853" max="14853" width="19.7109375" style="4" customWidth="1"/>
    <col min="14854" max="14854" width="17.140625" style="4" customWidth="1"/>
    <col min="14855" max="14855" width="15.85546875" style="4" customWidth="1"/>
    <col min="14856" max="14856" width="10.140625" style="4" customWidth="1"/>
    <col min="14857" max="14857" width="13.85546875" style="4" customWidth="1"/>
    <col min="14858" max="14858" width="7.42578125" style="4" customWidth="1"/>
    <col min="14859" max="15104" width="9.28515625" style="4"/>
    <col min="15105" max="15105" width="8.5703125" style="4" customWidth="1"/>
    <col min="15106" max="15107" width="10.28515625" style="4" customWidth="1"/>
    <col min="15108" max="15108" width="9.42578125" style="4" customWidth="1"/>
    <col min="15109" max="15109" width="19.7109375" style="4" customWidth="1"/>
    <col min="15110" max="15110" width="17.140625" style="4" customWidth="1"/>
    <col min="15111" max="15111" width="15.85546875" style="4" customWidth="1"/>
    <col min="15112" max="15112" width="10.140625" style="4" customWidth="1"/>
    <col min="15113" max="15113" width="13.85546875" style="4" customWidth="1"/>
    <col min="15114" max="15114" width="7.42578125" style="4" customWidth="1"/>
    <col min="15115" max="15360" width="9.28515625" style="4"/>
    <col min="15361" max="15361" width="8.5703125" style="4" customWidth="1"/>
    <col min="15362" max="15363" width="10.28515625" style="4" customWidth="1"/>
    <col min="15364" max="15364" width="9.42578125" style="4" customWidth="1"/>
    <col min="15365" max="15365" width="19.7109375" style="4" customWidth="1"/>
    <col min="15366" max="15366" width="17.140625" style="4" customWidth="1"/>
    <col min="15367" max="15367" width="15.85546875" style="4" customWidth="1"/>
    <col min="15368" max="15368" width="10.140625" style="4" customWidth="1"/>
    <col min="15369" max="15369" width="13.85546875" style="4" customWidth="1"/>
    <col min="15370" max="15370" width="7.42578125" style="4" customWidth="1"/>
    <col min="15371" max="15616" width="9.28515625" style="4"/>
    <col min="15617" max="15617" width="8.5703125" style="4" customWidth="1"/>
    <col min="15618" max="15619" width="10.28515625" style="4" customWidth="1"/>
    <col min="15620" max="15620" width="9.42578125" style="4" customWidth="1"/>
    <col min="15621" max="15621" width="19.7109375" style="4" customWidth="1"/>
    <col min="15622" max="15622" width="17.140625" style="4" customWidth="1"/>
    <col min="15623" max="15623" width="15.85546875" style="4" customWidth="1"/>
    <col min="15624" max="15624" width="10.140625" style="4" customWidth="1"/>
    <col min="15625" max="15625" width="13.85546875" style="4" customWidth="1"/>
    <col min="15626" max="15626" width="7.42578125" style="4" customWidth="1"/>
    <col min="15627" max="15872" width="9.28515625" style="4"/>
    <col min="15873" max="15873" width="8.5703125" style="4" customWidth="1"/>
    <col min="15874" max="15875" width="10.28515625" style="4" customWidth="1"/>
    <col min="15876" max="15876" width="9.42578125" style="4" customWidth="1"/>
    <col min="15877" max="15877" width="19.7109375" style="4" customWidth="1"/>
    <col min="15878" max="15878" width="17.140625" style="4" customWidth="1"/>
    <col min="15879" max="15879" width="15.85546875" style="4" customWidth="1"/>
    <col min="15880" max="15880" width="10.140625" style="4" customWidth="1"/>
    <col min="15881" max="15881" width="13.85546875" style="4" customWidth="1"/>
    <col min="15882" max="15882" width="7.42578125" style="4" customWidth="1"/>
    <col min="15883" max="16128" width="9.28515625" style="4"/>
    <col min="16129" max="16129" width="8.5703125" style="4" customWidth="1"/>
    <col min="16130" max="16131" width="10.28515625" style="4" customWidth="1"/>
    <col min="16132" max="16132" width="9.42578125" style="4" customWidth="1"/>
    <col min="16133" max="16133" width="19.7109375" style="4" customWidth="1"/>
    <col min="16134" max="16134" width="17.140625" style="4" customWidth="1"/>
    <col min="16135" max="16135" width="15.85546875" style="4" customWidth="1"/>
    <col min="16136" max="16136" width="10.140625" style="4" customWidth="1"/>
    <col min="16137" max="16137" width="13.85546875" style="4" customWidth="1"/>
    <col min="16138" max="16138" width="7.42578125" style="4" customWidth="1"/>
    <col min="16139" max="16384" width="9.28515625" style="4"/>
  </cols>
  <sheetData>
    <row r="1" spans="1:19" ht="18.75" x14ac:dyDescent="0.3">
      <c r="A1"/>
      <c r="B1" s="56" t="s">
        <v>10</v>
      </c>
      <c r="C1" s="56"/>
      <c r="D1" s="56"/>
      <c r="E1"/>
      <c r="F1" s="50" t="s">
        <v>18</v>
      </c>
      <c r="G1"/>
    </row>
    <row r="2" spans="1:19" ht="15.75" x14ac:dyDescent="0.25">
      <c r="A2"/>
      <c r="B2"/>
      <c r="C2"/>
      <c r="D2"/>
      <c r="E2"/>
      <c r="F2"/>
      <c r="G2"/>
      <c r="H2" s="9"/>
      <c r="I2" s="8"/>
      <c r="K2" s="8"/>
      <c r="L2" s="6"/>
      <c r="M2" s="6"/>
      <c r="N2" s="7"/>
      <c r="O2" s="8"/>
      <c r="P2" s="8"/>
      <c r="Q2" s="10"/>
      <c r="R2" s="9"/>
      <c r="S2" s="8"/>
    </row>
    <row r="3" spans="1:19" ht="15.75" x14ac:dyDescent="0.25">
      <c r="A3" s="51" t="s">
        <v>11</v>
      </c>
      <c r="B3" s="51" t="s">
        <v>12</v>
      </c>
      <c r="C3" s="51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23"/>
      <c r="I3" s="21"/>
      <c r="K3" s="8"/>
      <c r="L3" s="6"/>
      <c r="M3" s="11"/>
      <c r="N3" s="7"/>
      <c r="O3" s="8"/>
      <c r="Q3" s="10"/>
      <c r="R3" s="12"/>
      <c r="S3" s="8"/>
    </row>
    <row r="4" spans="1:19" ht="15.75" x14ac:dyDescent="0.25">
      <c r="A4" s="53" t="s">
        <v>19</v>
      </c>
      <c r="B4" t="str">
        <f>"Malphy, Brock (302)"</f>
        <v>Malphy, Brock (302)</v>
      </c>
      <c r="C4" t="str">
        <f>"98 - 8"</f>
        <v>98 - 8</v>
      </c>
      <c r="D4" t="str">
        <f>"87 - 3"</f>
        <v>87 - 3</v>
      </c>
      <c r="E4" t="str">
        <f>"96 - 7"</f>
        <v>96 - 7</v>
      </c>
      <c r="F4" t="str">
        <f>"94 - 4"</f>
        <v>94 - 4</v>
      </c>
      <c r="G4" t="str">
        <f>"375 - 22"</f>
        <v>375 - 22</v>
      </c>
      <c r="H4" s="25"/>
      <c r="I4" s="26"/>
      <c r="K4" s="8"/>
      <c r="L4" s="6"/>
    </row>
    <row r="5" spans="1:19" ht="15.75" x14ac:dyDescent="0.25">
      <c r="A5" s="53" t="s">
        <v>20</v>
      </c>
      <c r="B5" t="str">
        <f>"Malphy, Jake (212)"</f>
        <v>Malphy, Jake (212)</v>
      </c>
      <c r="C5" t="str">
        <f>"94 - 2"</f>
        <v>94 - 2</v>
      </c>
      <c r="D5" t="str">
        <f>"88 - 4"</f>
        <v>88 - 4</v>
      </c>
      <c r="E5" t="str">
        <f>"92 - 1"</f>
        <v>92 - 1</v>
      </c>
      <c r="F5" t="str">
        <f>"88 - 0"</f>
        <v>88 - 0</v>
      </c>
      <c r="G5" t="str">
        <f>"362 - 7"</f>
        <v>362 - 7</v>
      </c>
      <c r="H5" s="25"/>
      <c r="I5" s="26"/>
      <c r="K5" s="8"/>
      <c r="L5" s="6"/>
    </row>
    <row r="6" spans="1:19" ht="15.75" x14ac:dyDescent="0.25">
      <c r="A6" s="53" t="s">
        <v>21</v>
      </c>
      <c r="B6" t="str">
        <f>"Muckler, Eli (303)"</f>
        <v>Muckler, Eli (303)</v>
      </c>
      <c r="C6" t="str">
        <f>"97 - 6"</f>
        <v>97 - 6</v>
      </c>
      <c r="D6" t="str">
        <f>"76 - 0"</f>
        <v>76 - 0</v>
      </c>
      <c r="E6" t="str">
        <f>"93 - 5"</f>
        <v>93 - 5</v>
      </c>
      <c r="F6" t="str">
        <f>"89 - 2"</f>
        <v>89 - 2</v>
      </c>
      <c r="G6" t="str">
        <f>"355 - 13"</f>
        <v>355 - 13</v>
      </c>
      <c r="H6" s="25"/>
      <c r="I6" s="26"/>
      <c r="J6" s="13"/>
      <c r="K6" s="8"/>
      <c r="L6" s="6"/>
    </row>
    <row r="7" spans="1:19" ht="15.75" x14ac:dyDescent="0.25">
      <c r="A7" s="53">
        <v>1</v>
      </c>
      <c r="B7" t="str">
        <f>"Elmhorst, Chris (301)"</f>
        <v>Elmhorst, Chris (301)</v>
      </c>
      <c r="C7" t="str">
        <f>"88 - 2"</f>
        <v>88 - 2</v>
      </c>
      <c r="D7" t="str">
        <f>"76 - 1"</f>
        <v>76 - 1</v>
      </c>
      <c r="E7" t="str">
        <f>"62 - 0"</f>
        <v>62 - 0</v>
      </c>
      <c r="F7" t="str">
        <f>"73 - 1"</f>
        <v>73 - 1</v>
      </c>
      <c r="G7" t="str">
        <f>"299 - 4"</f>
        <v>299 - 4</v>
      </c>
      <c r="H7" s="25"/>
      <c r="I7" s="26"/>
      <c r="J7" s="13"/>
      <c r="K7" s="8"/>
      <c r="L7" s="6"/>
    </row>
    <row r="8" spans="1:19" ht="15.75" x14ac:dyDescent="0.25">
      <c r="A8" s="53">
        <v>2</v>
      </c>
      <c r="B8" t="str">
        <f>"Arndt, Tiernee (213)"</f>
        <v>Arndt, Tiernee (213)</v>
      </c>
      <c r="C8" t="str">
        <f>"86 - 3"</f>
        <v>86 - 3</v>
      </c>
      <c r="D8" t="str">
        <f>"64 - 1"</f>
        <v>64 - 1</v>
      </c>
      <c r="E8" t="str">
        <f>"66 - 1"</f>
        <v>66 - 1</v>
      </c>
      <c r="F8" t="str">
        <f>"79 - 0"</f>
        <v>79 - 0</v>
      </c>
      <c r="G8" t="str">
        <f>"295 - 5"</f>
        <v>295 - 5</v>
      </c>
      <c r="H8" s="25"/>
      <c r="I8" s="26"/>
      <c r="K8" s="8"/>
      <c r="L8" s="6"/>
    </row>
    <row r="9" spans="1:19" ht="15.75" x14ac:dyDescent="0.25">
      <c r="A9" s="53">
        <v>3</v>
      </c>
      <c r="B9" t="str">
        <f>"Fasbender, Owen (209)"</f>
        <v>Fasbender, Owen (209)</v>
      </c>
      <c r="C9" t="str">
        <f>"80 - 0"</f>
        <v>80 - 0</v>
      </c>
      <c r="D9" t="str">
        <f>"67 - 0"</f>
        <v>67 - 0</v>
      </c>
      <c r="E9" t="str">
        <f>"82 - 1"</f>
        <v>82 - 1</v>
      </c>
      <c r="F9" t="str">
        <f>"65 - 0"</f>
        <v>65 - 0</v>
      </c>
      <c r="G9" t="str">
        <f>"294 - 1"</f>
        <v>294 - 1</v>
      </c>
      <c r="H9" s="29"/>
      <c r="I9" s="26"/>
      <c r="K9" s="8"/>
      <c r="L9" s="6"/>
    </row>
    <row r="10" spans="1:19" ht="15.75" x14ac:dyDescent="0.25">
      <c r="A10" s="53">
        <v>4</v>
      </c>
      <c r="B10" t="str">
        <f>"Elmhorst, Brett (208)"</f>
        <v>Elmhorst, Brett (208)</v>
      </c>
      <c r="C10" t="str">
        <f>"65 - 0"</f>
        <v>65 - 0</v>
      </c>
      <c r="D10" t="str">
        <f>"59 - 0"</f>
        <v>59 - 0</v>
      </c>
      <c r="E10" t="str">
        <f>"84 - 1"</f>
        <v>84 - 1</v>
      </c>
      <c r="F10" t="str">
        <f>"76 - 2"</f>
        <v>76 - 2</v>
      </c>
      <c r="G10" t="str">
        <f>"284 - 3"</f>
        <v>284 - 3</v>
      </c>
      <c r="H10" s="25"/>
      <c r="I10" s="30"/>
      <c r="K10" s="8"/>
      <c r="L10" s="6"/>
    </row>
    <row r="11" spans="1:19" ht="15.75" x14ac:dyDescent="0.25">
      <c r="A11" s="53">
        <v>5</v>
      </c>
      <c r="B11" t="str">
        <f>"Sikora, Abigail (205)"</f>
        <v>Sikora, Abigail (205)</v>
      </c>
      <c r="C11" t="str">
        <f>"77 - 0"</f>
        <v>77 - 0</v>
      </c>
      <c r="D11" t="str">
        <f>"61 - 0"</f>
        <v>61 - 0</v>
      </c>
      <c r="E11" t="str">
        <f>"68 - 0"</f>
        <v>68 - 0</v>
      </c>
      <c r="F11" t="str">
        <f>"72 - 0"</f>
        <v>72 - 0</v>
      </c>
      <c r="G11" t="str">
        <f>"278 - 0"</f>
        <v>278 - 0</v>
      </c>
      <c r="H11" s="25"/>
      <c r="I11" s="26"/>
      <c r="K11" s="8"/>
      <c r="L11" s="6"/>
    </row>
    <row r="12" spans="1:19" ht="15.75" x14ac:dyDescent="0.25">
      <c r="A12" s="53">
        <v>6</v>
      </c>
      <c r="B12" t="str">
        <f>"Lotts, Riley (204)"</f>
        <v>Lotts, Riley (204)</v>
      </c>
      <c r="C12" t="str">
        <f>"65 - 0"</f>
        <v>65 - 0</v>
      </c>
      <c r="D12" t="str">
        <f>"56 - 1"</f>
        <v>56 - 1</v>
      </c>
      <c r="E12" t="str">
        <f>"86 - 0"</f>
        <v>86 - 0</v>
      </c>
      <c r="F12" t="str">
        <f>"64 - 1"</f>
        <v>64 - 1</v>
      </c>
      <c r="G12" t="str">
        <f>"271 - 2"</f>
        <v>271 - 2</v>
      </c>
      <c r="H12" s="25"/>
      <c r="I12" s="26"/>
      <c r="K12" s="8"/>
      <c r="L12" s="6"/>
    </row>
    <row r="13" spans="1:19" ht="15.75" x14ac:dyDescent="0.25">
      <c r="A13"/>
      <c r="B13" t="str">
        <f>"Cochran, Wyatt (101)"</f>
        <v>Cochran, Wyatt (101)</v>
      </c>
      <c r="C13" t="str">
        <f>"72 - 0"</f>
        <v>72 - 0</v>
      </c>
      <c r="D13" t="str">
        <f>"58 - 0"</f>
        <v>58 - 0</v>
      </c>
      <c r="E13" t="str">
        <f>"65 - 0"</f>
        <v>65 - 0</v>
      </c>
      <c r="F13" t="str">
        <f>"65 - 0"</f>
        <v>65 - 0</v>
      </c>
      <c r="G13" t="str">
        <f>"260 - 0"</f>
        <v>260 - 0</v>
      </c>
      <c r="H13" s="25"/>
      <c r="I13" s="26"/>
      <c r="J13" s="2"/>
      <c r="K13" s="3"/>
      <c r="N13" s="5"/>
    </row>
    <row r="14" spans="1:19" ht="15.75" x14ac:dyDescent="0.25">
      <c r="A14"/>
      <c r="B14" t="str">
        <f>"Swobada, Kylie (206)"</f>
        <v>Swobada, Kylie (206)</v>
      </c>
      <c r="C14" t="str">
        <f>"78 - 1"</f>
        <v>78 - 1</v>
      </c>
      <c r="D14" t="str">
        <f>"53 - 0"</f>
        <v>53 - 0</v>
      </c>
      <c r="E14" t="str">
        <f>"58 - 0"</f>
        <v>58 - 0</v>
      </c>
      <c r="F14" t="str">
        <f>"67 - 0"</f>
        <v>67 - 0</v>
      </c>
      <c r="G14" t="str">
        <f>"256 - 1"</f>
        <v>256 - 1</v>
      </c>
      <c r="H14" s="25"/>
      <c r="I14" s="26"/>
      <c r="J14" s="6"/>
      <c r="K14" s="14"/>
      <c r="L14" s="15"/>
      <c r="M14" s="8"/>
      <c r="N14" s="9"/>
      <c r="O14" s="8"/>
    </row>
    <row r="15" spans="1:19" ht="15.75" x14ac:dyDescent="0.25">
      <c r="A15"/>
      <c r="B15" t="str">
        <f>"Kempe, Kara (203)"</f>
        <v>Kempe, Kara (203)</v>
      </c>
      <c r="C15" t="str">
        <f>"74 - 0"</f>
        <v>74 - 0</v>
      </c>
      <c r="D15" t="str">
        <f>"39 - 0"</f>
        <v>39 - 0</v>
      </c>
      <c r="E15" t="str">
        <f>"64 - 0"</f>
        <v>64 - 0</v>
      </c>
      <c r="F15" t="str">
        <f>"70 - 1"</f>
        <v>70 - 1</v>
      </c>
      <c r="G15" t="str">
        <f>"247 - 1"</f>
        <v>247 - 1</v>
      </c>
      <c r="H15" s="33"/>
      <c r="I15" s="26"/>
      <c r="K15" s="8"/>
      <c r="L15" s="6"/>
    </row>
    <row r="16" spans="1:19" ht="15.75" x14ac:dyDescent="0.25">
      <c r="A16"/>
      <c r="B16" t="str">
        <f>"Buntz, Ben  (202)"</f>
        <v>Buntz, Ben  (202)</v>
      </c>
      <c r="C16" t="str">
        <f>"69 - 0"</f>
        <v>69 - 0</v>
      </c>
      <c r="D16" t="str">
        <f>"49 - 0"</f>
        <v>49 - 0</v>
      </c>
      <c r="E16" t="str">
        <f>"56 - 0"</f>
        <v>56 - 0</v>
      </c>
      <c r="F16" t="str">
        <f>"59 - 0"</f>
        <v>59 - 0</v>
      </c>
      <c r="G16" t="str">
        <f>"233 - 0"</f>
        <v>233 - 0</v>
      </c>
      <c r="H16" s="25"/>
      <c r="I16" s="26"/>
      <c r="K16" s="8"/>
      <c r="L16" s="6"/>
      <c r="M16" s="6"/>
      <c r="N16" s="7"/>
      <c r="O16" s="8"/>
      <c r="Q16" s="10"/>
      <c r="R16" s="9"/>
      <c r="S16" s="8"/>
    </row>
    <row r="17" spans="1:19" ht="15.75" x14ac:dyDescent="0.25">
      <c r="A17"/>
      <c r="B17" t="str">
        <f>"Anderson, Pierce (201)"</f>
        <v>Anderson, Pierce (201)</v>
      </c>
      <c r="C17" t="str">
        <f>"51 - 0"</f>
        <v>51 - 0</v>
      </c>
      <c r="D17" t="str">
        <f>"30 - 0"</f>
        <v>30 - 0</v>
      </c>
      <c r="E17" t="str">
        <f>"66 - 0"</f>
        <v>66 - 0</v>
      </c>
      <c r="F17" t="str">
        <f>"61 - 0"</f>
        <v>61 - 0</v>
      </c>
      <c r="G17" t="str">
        <f>"208 - 0"</f>
        <v>208 - 0</v>
      </c>
      <c r="H17" s="25"/>
      <c r="I17" s="28"/>
      <c r="K17" s="8"/>
      <c r="L17" s="6"/>
      <c r="M17" s="6"/>
      <c r="N17" s="7"/>
      <c r="O17" s="8"/>
      <c r="Q17" s="10"/>
      <c r="R17" s="9"/>
      <c r="S17" s="8"/>
    </row>
    <row r="18" spans="1:19" ht="15.75" hidden="1" x14ac:dyDescent="0.25">
      <c r="A18" t="str">
        <f>"15"</f>
        <v>15</v>
      </c>
      <c r="B18" t="str">
        <f>"Dohms, Gabe (207)"</f>
        <v>Dohms, Gabe (207)</v>
      </c>
      <c r="C18" t="str">
        <f>"57 - 2"</f>
        <v>57 - 2</v>
      </c>
      <c r="D18" t="str">
        <f>"53 - 1"</f>
        <v>53 - 1</v>
      </c>
      <c r="E18" t="str">
        <f>"55 - 0"</f>
        <v>55 - 0</v>
      </c>
      <c r="F18" t="str">
        <f>"40 - 0"</f>
        <v>40 - 0</v>
      </c>
      <c r="G18" t="str">
        <f>"205 - 3"</f>
        <v>205 - 3</v>
      </c>
      <c r="H18" s="29"/>
      <c r="I18" s="28"/>
      <c r="K18" s="8"/>
      <c r="L18" s="6"/>
      <c r="M18" s="6"/>
      <c r="N18" s="7"/>
      <c r="O18" s="8"/>
      <c r="Q18" s="10"/>
      <c r="R18" s="9"/>
      <c r="S18" s="8"/>
    </row>
    <row r="19" spans="1:19" ht="15.75" hidden="1" x14ac:dyDescent="0.25">
      <c r="A19" t="str">
        <f>"16"</f>
        <v>16</v>
      </c>
      <c r="B19" t="str">
        <f>"Maier, Greysen (210)"</f>
        <v>Maier, Greysen (210)</v>
      </c>
      <c r="C19" t="str">
        <f>"53 - 0"</f>
        <v>53 - 0</v>
      </c>
      <c r="D19" t="str">
        <f>"34 - 0"</f>
        <v>34 - 0</v>
      </c>
      <c r="E19" t="str">
        <f>"72 - 0"</f>
        <v>72 - 0</v>
      </c>
      <c r="F19" t="str">
        <f>"39 - 0"</f>
        <v>39 - 0</v>
      </c>
      <c r="G19" t="str">
        <f>"198 - 0"</f>
        <v>198 - 0</v>
      </c>
      <c r="H19" s="29"/>
      <c r="I19" s="28"/>
      <c r="K19" s="8"/>
      <c r="L19" s="6"/>
      <c r="M19" s="6"/>
      <c r="N19" s="7"/>
      <c r="O19" s="8"/>
      <c r="Q19" s="10"/>
      <c r="R19" s="9"/>
      <c r="S19" s="8"/>
    </row>
    <row r="20" spans="1:19" ht="15.75" hidden="1" x14ac:dyDescent="0.25">
      <c r="A20" s="20"/>
      <c r="B20" s="18"/>
      <c r="C20" s="18"/>
      <c r="D20" s="18"/>
      <c r="E20" s="20"/>
      <c r="F20" s="21"/>
      <c r="G20" s="21"/>
      <c r="H20" s="25"/>
      <c r="I20" s="21"/>
      <c r="K20" s="8"/>
      <c r="L20" s="6"/>
      <c r="M20" s="6"/>
      <c r="N20" s="7"/>
      <c r="O20" s="8"/>
      <c r="Q20" s="10"/>
      <c r="R20" s="9"/>
      <c r="S20" s="8"/>
    </row>
    <row r="21" spans="1:19" ht="15.75" hidden="1" x14ac:dyDescent="0.25">
      <c r="A21" s="20"/>
      <c r="B21" s="18"/>
      <c r="C21" s="18"/>
      <c r="D21" s="18"/>
      <c r="E21" s="20"/>
      <c r="F21" s="21"/>
      <c r="G21" s="21"/>
      <c r="H21" s="25"/>
      <c r="I21" s="21"/>
      <c r="K21" s="8"/>
      <c r="L21" s="6"/>
      <c r="M21" s="6"/>
      <c r="N21" s="7"/>
      <c r="O21" s="8"/>
      <c r="Q21" s="10"/>
      <c r="R21" s="9"/>
      <c r="S21" s="8"/>
    </row>
    <row r="22" spans="1:19" ht="15.75" hidden="1" x14ac:dyDescent="0.25">
      <c r="A22" s="20"/>
      <c r="B22" s="18"/>
      <c r="C22" s="18"/>
      <c r="D22" s="18"/>
      <c r="E22" s="20"/>
      <c r="F22" s="21"/>
      <c r="G22" s="21"/>
      <c r="H22" s="25"/>
      <c r="I22" s="21"/>
      <c r="K22" s="8"/>
      <c r="L22" s="6"/>
      <c r="M22" s="6"/>
      <c r="N22" s="7"/>
      <c r="O22" s="8"/>
      <c r="Q22" s="10"/>
      <c r="R22" s="9"/>
      <c r="S22" s="8"/>
    </row>
    <row r="23" spans="1:19" ht="15.75" hidden="1" x14ac:dyDescent="0.25">
      <c r="A23" s="20"/>
      <c r="B23" s="18"/>
      <c r="C23" s="18"/>
      <c r="D23" s="18"/>
      <c r="E23" s="20"/>
      <c r="F23" s="21"/>
      <c r="G23" s="21"/>
      <c r="H23" s="25"/>
      <c r="I23" s="21"/>
      <c r="K23" s="8"/>
      <c r="L23" s="6"/>
      <c r="M23" s="6"/>
      <c r="N23" s="7"/>
      <c r="O23" s="8"/>
      <c r="Q23" s="10"/>
      <c r="R23" s="9"/>
      <c r="S23" s="8"/>
    </row>
    <row r="24" spans="1:19" ht="15.75" x14ac:dyDescent="0.25">
      <c r="A24" s="20"/>
      <c r="B24" s="18"/>
      <c r="C24" s="18"/>
      <c r="D24" s="18"/>
      <c r="E24" s="20"/>
      <c r="F24" s="21"/>
      <c r="G24" s="21"/>
      <c r="H24" s="25"/>
      <c r="I24" s="21"/>
      <c r="K24" s="8"/>
      <c r="L24" s="6"/>
      <c r="M24" s="6"/>
      <c r="N24" s="7"/>
      <c r="O24" s="8"/>
      <c r="Q24" s="10"/>
      <c r="R24" s="9"/>
      <c r="S24" s="8"/>
    </row>
    <row r="25" spans="1:19" ht="15.75" x14ac:dyDescent="0.25">
      <c r="A25"/>
      <c r="B25" s="52" t="s">
        <v>22</v>
      </c>
      <c r="C25"/>
      <c r="D25"/>
      <c r="E25" s="20"/>
      <c r="F25" s="21"/>
      <c r="G25" s="21"/>
      <c r="H25" s="25"/>
      <c r="I25" s="21"/>
      <c r="K25" s="8"/>
      <c r="L25" s="6"/>
      <c r="M25" s="6"/>
      <c r="N25" s="7"/>
      <c r="O25" s="8"/>
      <c r="Q25" s="10"/>
      <c r="R25" s="9"/>
      <c r="S25" s="8"/>
    </row>
    <row r="26" spans="1:19" ht="15.75" x14ac:dyDescent="0.25">
      <c r="A26" t="s">
        <v>11</v>
      </c>
      <c r="B26" t="s">
        <v>12</v>
      </c>
      <c r="C26" s="50" t="s">
        <v>23</v>
      </c>
      <c r="D26" s="50" t="s">
        <v>13</v>
      </c>
      <c r="E26" s="20"/>
      <c r="F26" t="s">
        <v>11</v>
      </c>
      <c r="G26" t="s">
        <v>12</v>
      </c>
      <c r="H26" s="50" t="s">
        <v>26</v>
      </c>
      <c r="I26" s="50" t="s">
        <v>14</v>
      </c>
      <c r="K26" t="s">
        <v>11</v>
      </c>
      <c r="L26" t="s">
        <v>12</v>
      </c>
      <c r="M26" s="50" t="s">
        <v>27</v>
      </c>
      <c r="N26" s="50" t="s">
        <v>15</v>
      </c>
      <c r="P26" t="s">
        <v>11</v>
      </c>
      <c r="Q26" t="s">
        <v>12</v>
      </c>
      <c r="R26" s="50" t="s">
        <v>28</v>
      </c>
      <c r="S26" s="50" t="s">
        <v>16</v>
      </c>
    </row>
    <row r="27" spans="1:19" ht="15.75" x14ac:dyDescent="0.25">
      <c r="A27" s="53" t="str">
        <f>"1"</f>
        <v>1</v>
      </c>
      <c r="B27" t="str">
        <f>"Malphy, Brock (302)"</f>
        <v>Malphy, Brock (302)</v>
      </c>
      <c r="C27" t="str">
        <f>"98 - 8"</f>
        <v>98 - 8</v>
      </c>
      <c r="D27" t="str">
        <f>"98 - 8"</f>
        <v>98 - 8</v>
      </c>
      <c r="E27" s="20"/>
      <c r="F27" s="53" t="str">
        <f>"1"</f>
        <v>1</v>
      </c>
      <c r="G27" t="str">
        <f>"Malphy, Brock (302)"</f>
        <v>Malphy, Brock (302)</v>
      </c>
      <c r="H27" t="str">
        <f>"87 - 3"</f>
        <v>87 - 3</v>
      </c>
      <c r="I27" t="str">
        <f>"87 - 3"</f>
        <v>87 - 3</v>
      </c>
      <c r="K27" s="53" t="str">
        <f>"1"</f>
        <v>1</v>
      </c>
      <c r="L27" t="str">
        <f>"Malphy, Brock (302)"</f>
        <v>Malphy, Brock (302)</v>
      </c>
      <c r="M27" t="str">
        <f>"96 - 7"</f>
        <v>96 - 7</v>
      </c>
      <c r="N27" t="str">
        <f>"96 - 7"</f>
        <v>96 - 7</v>
      </c>
      <c r="P27" s="53" t="str">
        <f>"1"</f>
        <v>1</v>
      </c>
      <c r="Q27" t="str">
        <f>"Malphy, Brock (302)"</f>
        <v>Malphy, Brock (302)</v>
      </c>
      <c r="R27" t="str">
        <f>"94 - 4"</f>
        <v>94 - 4</v>
      </c>
      <c r="S27" t="str">
        <f>"94 - 4"</f>
        <v>94 - 4</v>
      </c>
    </row>
    <row r="28" spans="1:19" ht="15.75" x14ac:dyDescent="0.25">
      <c r="A28" s="53" t="str">
        <f>"2"</f>
        <v>2</v>
      </c>
      <c r="B28" t="str">
        <f>"Muckler, Eli (303)"</f>
        <v>Muckler, Eli (303)</v>
      </c>
      <c r="C28" t="str">
        <f>"97 - 6"</f>
        <v>97 - 6</v>
      </c>
      <c r="D28" t="str">
        <f>"97 - 6"</f>
        <v>97 - 6</v>
      </c>
      <c r="E28" s="20"/>
      <c r="F28" s="53" t="str">
        <f>"2"</f>
        <v>2</v>
      </c>
      <c r="G28" t="str">
        <f>"Elmhorst, Chris (301)"</f>
        <v>Elmhorst, Chris (301)</v>
      </c>
      <c r="H28" t="str">
        <f>"76 - 1"</f>
        <v>76 - 1</v>
      </c>
      <c r="I28" t="str">
        <f>"76 - 1"</f>
        <v>76 - 1</v>
      </c>
      <c r="K28" s="53" t="str">
        <f>"2"</f>
        <v>2</v>
      </c>
      <c r="L28" t="str">
        <f>"Muckler, Eli (303)"</f>
        <v>Muckler, Eli (303)</v>
      </c>
      <c r="M28" t="str">
        <f>"93 - 5"</f>
        <v>93 - 5</v>
      </c>
      <c r="N28" t="str">
        <f>"93 - 5"</f>
        <v>93 - 5</v>
      </c>
      <c r="P28" s="53" t="str">
        <f>"2"</f>
        <v>2</v>
      </c>
      <c r="Q28" t="str">
        <f>"Muckler, Eli (303)"</f>
        <v>Muckler, Eli (303)</v>
      </c>
      <c r="R28" t="str">
        <f>"89 - 2"</f>
        <v>89 - 2</v>
      </c>
      <c r="S28" t="str">
        <f>"89 - 2"</f>
        <v>89 - 2</v>
      </c>
    </row>
    <row r="29" spans="1:19" ht="15.75" x14ac:dyDescent="0.25">
      <c r="A29"/>
      <c r="B29" t="str">
        <f>"Elmhorst, Chris (301)"</f>
        <v>Elmhorst, Chris (301)</v>
      </c>
      <c r="C29" t="str">
        <f>"88 - 2"</f>
        <v>88 - 2</v>
      </c>
      <c r="D29" t="str">
        <f>"88 - 2"</f>
        <v>88 - 2</v>
      </c>
      <c r="E29" s="20"/>
      <c r="F29"/>
      <c r="G29" t="str">
        <f>"Muckler, Eli (303)"</f>
        <v>Muckler, Eli (303)</v>
      </c>
      <c r="H29" t="str">
        <f>"76 - 0"</f>
        <v>76 - 0</v>
      </c>
      <c r="I29" t="str">
        <f>"76 - 0"</f>
        <v>76 - 0</v>
      </c>
      <c r="K29"/>
      <c r="L29" t="str">
        <f>"Elmhorst, Chris (301)"</f>
        <v>Elmhorst, Chris (301)</v>
      </c>
      <c r="M29" t="str">
        <f>"62 - 0"</f>
        <v>62 - 0</v>
      </c>
      <c r="N29" t="str">
        <f>"62 - 0"</f>
        <v>62 - 0</v>
      </c>
      <c r="P29" s="53"/>
      <c r="Q29" t="str">
        <f>"Elmhorst, Chris (301)"</f>
        <v>Elmhorst, Chris (301)</v>
      </c>
      <c r="R29" t="str">
        <f>"73 - 1"</f>
        <v>73 - 1</v>
      </c>
      <c r="S29" t="str">
        <f>"73 - 1"</f>
        <v>73 - 1</v>
      </c>
    </row>
    <row r="30" spans="1:19" ht="15.75" x14ac:dyDescent="0.25">
      <c r="A30"/>
      <c r="B30"/>
      <c r="C30"/>
      <c r="D30"/>
      <c r="E30" s="20"/>
      <c r="F30" s="21"/>
      <c r="G30" s="21"/>
      <c r="H30" s="25"/>
      <c r="I30" s="21"/>
      <c r="K30" s="8"/>
      <c r="L30" s="6"/>
    </row>
    <row r="31" spans="1:19" ht="15.75" x14ac:dyDescent="0.25">
      <c r="A31"/>
      <c r="B31" s="52" t="s">
        <v>24</v>
      </c>
      <c r="C31"/>
      <c r="D31"/>
      <c r="E31" s="28"/>
      <c r="F31" s="28"/>
      <c r="G31" s="21"/>
      <c r="H31" s="25"/>
      <c r="I31" s="26"/>
      <c r="K31" s="8"/>
      <c r="L31" s="6"/>
    </row>
    <row r="32" spans="1:19" x14ac:dyDescent="0.25">
      <c r="A32" t="s">
        <v>11</v>
      </c>
      <c r="B32" t="s">
        <v>12</v>
      </c>
      <c r="C32" s="50" t="s">
        <v>23</v>
      </c>
      <c r="D32" s="50" t="s">
        <v>13</v>
      </c>
      <c r="E32" s="27"/>
      <c r="F32" t="s">
        <v>11</v>
      </c>
      <c r="G32" t="s">
        <v>12</v>
      </c>
      <c r="H32" s="50" t="s">
        <v>26</v>
      </c>
      <c r="I32" s="50" t="s">
        <v>14</v>
      </c>
      <c r="K32" t="s">
        <v>11</v>
      </c>
      <c r="L32" t="s">
        <v>12</v>
      </c>
      <c r="M32" s="50" t="s">
        <v>27</v>
      </c>
      <c r="N32" s="50" t="s">
        <v>15</v>
      </c>
      <c r="P32" t="s">
        <v>11</v>
      </c>
      <c r="Q32" t="s">
        <v>12</v>
      </c>
      <c r="R32" s="50" t="s">
        <v>28</v>
      </c>
      <c r="S32" s="50" t="s">
        <v>16</v>
      </c>
    </row>
    <row r="33" spans="1:19" x14ac:dyDescent="0.25">
      <c r="A33" s="53" t="str">
        <f>"1"</f>
        <v>1</v>
      </c>
      <c r="B33" t="str">
        <f>"Malphy, Jake (212)"</f>
        <v>Malphy, Jake (212)</v>
      </c>
      <c r="C33" t="str">
        <f>"94 - 2"</f>
        <v>94 - 2</v>
      </c>
      <c r="D33" t="str">
        <f>"94 - 2"</f>
        <v>94 - 2</v>
      </c>
      <c r="E33" s="27"/>
      <c r="F33" s="53" t="str">
        <f>"1"</f>
        <v>1</v>
      </c>
      <c r="G33" t="str">
        <f>"Malphy, Jake (212)"</f>
        <v>Malphy, Jake (212)</v>
      </c>
      <c r="H33" t="str">
        <f>"88 - 4"</f>
        <v>88 - 4</v>
      </c>
      <c r="I33" t="str">
        <f>"88 - 4"</f>
        <v>88 - 4</v>
      </c>
      <c r="K33" s="53" t="str">
        <f>"1"</f>
        <v>1</v>
      </c>
      <c r="L33" t="str">
        <f>"Malphy, Jake (212)"</f>
        <v>Malphy, Jake (212)</v>
      </c>
      <c r="M33" t="str">
        <f>"92 - 1"</f>
        <v>92 - 1</v>
      </c>
      <c r="N33" t="str">
        <f>"92 - 1"</f>
        <v>92 - 1</v>
      </c>
      <c r="P33" s="53" t="str">
        <f>"1"</f>
        <v>1</v>
      </c>
      <c r="Q33" t="str">
        <f>"Malphy, Jake (212)"</f>
        <v>Malphy, Jake (212)</v>
      </c>
      <c r="R33" t="str">
        <f>"88 - 0"</f>
        <v>88 - 0</v>
      </c>
      <c r="S33" t="str">
        <f>"88 - 0"</f>
        <v>88 - 0</v>
      </c>
    </row>
    <row r="34" spans="1:19" x14ac:dyDescent="0.25">
      <c r="A34" s="53" t="str">
        <f>"2"</f>
        <v>2</v>
      </c>
      <c r="B34" t="str">
        <f>"Arndt, Tiernee (213)"</f>
        <v>Arndt, Tiernee (213)</v>
      </c>
      <c r="C34" t="str">
        <f>"86 - 3"</f>
        <v>86 - 3</v>
      </c>
      <c r="D34" t="str">
        <f>"86 - 3"</f>
        <v>86 - 3</v>
      </c>
      <c r="E34" s="27"/>
      <c r="F34" s="53" t="str">
        <f>"2"</f>
        <v>2</v>
      </c>
      <c r="G34" t="str">
        <f>"Fasbender, Owen (209)"</f>
        <v>Fasbender, Owen (209)</v>
      </c>
      <c r="H34" t="str">
        <f>"67 - 0"</f>
        <v>67 - 0</v>
      </c>
      <c r="I34" t="str">
        <f>"67 - 0"</f>
        <v>67 - 0</v>
      </c>
      <c r="K34" s="53" t="str">
        <f>"2"</f>
        <v>2</v>
      </c>
      <c r="L34" t="str">
        <f>"Lotts, Riley (204)"</f>
        <v>Lotts, Riley (204)</v>
      </c>
      <c r="M34" t="str">
        <f>"86 - 0"</f>
        <v>86 - 0</v>
      </c>
      <c r="N34" t="str">
        <f>"86 - 0"</f>
        <v>86 - 0</v>
      </c>
      <c r="P34" s="53" t="str">
        <f>"2"</f>
        <v>2</v>
      </c>
      <c r="Q34" t="str">
        <f>"Arndt, Tiernee (213)"</f>
        <v>Arndt, Tiernee (213)</v>
      </c>
      <c r="R34" t="str">
        <f>"79 - 0"</f>
        <v>79 - 0</v>
      </c>
      <c r="S34" t="str">
        <f>"79 - 0"</f>
        <v>79 - 0</v>
      </c>
    </row>
    <row r="35" spans="1:19" ht="15.75" x14ac:dyDescent="0.25">
      <c r="A35" s="53" t="str">
        <f>"3"</f>
        <v>3</v>
      </c>
      <c r="B35" t="str">
        <f>"Fasbender, Owen (209)"</f>
        <v>Fasbender, Owen (209)</v>
      </c>
      <c r="C35" t="str">
        <f>"80 - 0"</f>
        <v>80 - 0</v>
      </c>
      <c r="D35" t="str">
        <f>"80 - 0"</f>
        <v>80 - 0</v>
      </c>
      <c r="E35" s="21"/>
      <c r="F35" s="53" t="str">
        <f>"3"</f>
        <v>3</v>
      </c>
      <c r="G35" t="str">
        <f>"Arndt, Tiernee (213)"</f>
        <v>Arndt, Tiernee (213)</v>
      </c>
      <c r="H35" t="str">
        <f>"64 - 1"</f>
        <v>64 - 1</v>
      </c>
      <c r="I35" t="str">
        <f>"64 - 1"</f>
        <v>64 - 1</v>
      </c>
      <c r="K35" s="53" t="str">
        <f>"3"</f>
        <v>3</v>
      </c>
      <c r="L35" t="str">
        <f>"Elmhorst, Brett (208)"</f>
        <v>Elmhorst, Brett (208)</v>
      </c>
      <c r="M35" t="str">
        <f>"84 - 1"</f>
        <v>84 - 1</v>
      </c>
      <c r="N35" t="str">
        <f>"84 - 1"</f>
        <v>84 - 1</v>
      </c>
      <c r="P35" s="53" t="str">
        <f>"3"</f>
        <v>3</v>
      </c>
      <c r="Q35" t="str">
        <f>"Elmhorst, Brett (208)"</f>
        <v>Elmhorst, Brett (208)</v>
      </c>
      <c r="R35" t="str">
        <f>"76 - 2"</f>
        <v>76 - 2</v>
      </c>
      <c r="S35" t="str">
        <f>"76 - 2"</f>
        <v>76 - 2</v>
      </c>
    </row>
    <row r="36" spans="1:19" ht="15.75" x14ac:dyDescent="0.25">
      <c r="A36" s="53" t="str">
        <f>"4"</f>
        <v>4</v>
      </c>
      <c r="B36" t="str">
        <f>"Swobada, Kylie (206)"</f>
        <v>Swobada, Kylie (206)</v>
      </c>
      <c r="C36" t="str">
        <f>"78 - 1"</f>
        <v>78 - 1</v>
      </c>
      <c r="D36" t="str">
        <f>"78 - 1"</f>
        <v>78 - 1</v>
      </c>
      <c r="E36" s="20"/>
      <c r="F36" s="53" t="str">
        <f>"4"</f>
        <v>4</v>
      </c>
      <c r="G36" t="str">
        <f>"Sikora, Abigail (205)"</f>
        <v>Sikora, Abigail (205)</v>
      </c>
      <c r="H36" t="str">
        <f>"61 - 0"</f>
        <v>61 - 0</v>
      </c>
      <c r="I36" t="str">
        <f>"61 - 0"</f>
        <v>61 - 0</v>
      </c>
      <c r="K36" s="53" t="str">
        <f>"4"</f>
        <v>4</v>
      </c>
      <c r="L36" t="str">
        <f>"Fasbender, Owen (209)"</f>
        <v>Fasbender, Owen (209)</v>
      </c>
      <c r="M36" t="str">
        <f>"82 - 1"</f>
        <v>82 - 1</v>
      </c>
      <c r="N36" t="str">
        <f>"82 - 1"</f>
        <v>82 - 1</v>
      </c>
      <c r="P36" s="53" t="str">
        <f>"4"</f>
        <v>4</v>
      </c>
      <c r="Q36" t="str">
        <f>"Sikora, Abigail (205)"</f>
        <v>Sikora, Abigail (205)</v>
      </c>
      <c r="R36" t="str">
        <f>"72 - 0"</f>
        <v>72 - 0</v>
      </c>
      <c r="S36" t="str">
        <f>"72 - 0"</f>
        <v>72 - 0</v>
      </c>
    </row>
    <row r="37" spans="1:19" ht="15.75" x14ac:dyDescent="0.25">
      <c r="A37" s="53" t="str">
        <f>"5"</f>
        <v>5</v>
      </c>
      <c r="B37" t="str">
        <f>"Sikora, Abigail (205)"</f>
        <v>Sikora, Abigail (205)</v>
      </c>
      <c r="C37" t="str">
        <f>"77 - 0"</f>
        <v>77 - 0</v>
      </c>
      <c r="D37" t="str">
        <f>"77 - 0"</f>
        <v>77 - 0</v>
      </c>
      <c r="E37" s="31"/>
      <c r="F37" s="53" t="str">
        <f>"5"</f>
        <v>5</v>
      </c>
      <c r="G37" t="str">
        <f>"Elmhorst, Brett (208)"</f>
        <v>Elmhorst, Brett (208)</v>
      </c>
      <c r="H37" t="str">
        <f>"59 - 0"</f>
        <v>59 - 0</v>
      </c>
      <c r="I37" t="str">
        <f>"59 - 0"</f>
        <v>59 - 0</v>
      </c>
      <c r="K37" s="53" t="str">
        <f>"5"</f>
        <v>5</v>
      </c>
      <c r="L37" t="str">
        <f>"Maier, Greysen (210)"</f>
        <v>Maier, Greysen (210)</v>
      </c>
      <c r="M37" t="str">
        <f>"72 - 0"</f>
        <v>72 - 0</v>
      </c>
      <c r="N37" t="str">
        <f>"72 - 0"</f>
        <v>72 - 0</v>
      </c>
      <c r="O37" s="8"/>
      <c r="P37" s="53" t="str">
        <f>"5"</f>
        <v>5</v>
      </c>
      <c r="Q37" t="str">
        <f>"Kempe, Kara (203)"</f>
        <v>Kempe, Kara (203)</v>
      </c>
      <c r="R37" t="str">
        <f>"70 - 1"</f>
        <v>70 - 1</v>
      </c>
      <c r="S37" t="str">
        <f>"70 - 1"</f>
        <v>70 - 1</v>
      </c>
    </row>
    <row r="38" spans="1:19" ht="15.75" x14ac:dyDescent="0.25">
      <c r="A38" s="53" t="str">
        <f>"6"</f>
        <v>6</v>
      </c>
      <c r="B38" t="str">
        <f>"Kempe, Kara (203)"</f>
        <v>Kempe, Kara (203)</v>
      </c>
      <c r="C38" t="str">
        <f>"74 - 0"</f>
        <v>74 - 0</v>
      </c>
      <c r="D38" t="str">
        <f>"74 - 0"</f>
        <v>74 - 0</v>
      </c>
      <c r="E38" s="21"/>
      <c r="F38" s="53" t="str">
        <f>"6"</f>
        <v>6</v>
      </c>
      <c r="G38" t="str">
        <f>"Lotts, Riley (204)"</f>
        <v>Lotts, Riley (204)</v>
      </c>
      <c r="H38" t="str">
        <f>"56 - 1"</f>
        <v>56 - 1</v>
      </c>
      <c r="I38" t="str">
        <f>"56 - 1"</f>
        <v>56 - 1</v>
      </c>
      <c r="K38" s="53" t="str">
        <f>"6"</f>
        <v>6</v>
      </c>
      <c r="L38" t="str">
        <f>"Sikora, Abigail (205)"</f>
        <v>Sikora, Abigail (205)</v>
      </c>
      <c r="M38" t="str">
        <f>"68 - 0"</f>
        <v>68 - 0</v>
      </c>
      <c r="N38" t="str">
        <f>"68 - 0"</f>
        <v>68 - 0</v>
      </c>
      <c r="O38" s="8"/>
      <c r="P38" s="53" t="str">
        <f>"6"</f>
        <v>6</v>
      </c>
      <c r="Q38" t="str">
        <f>"Swobada, Kylie (206)"</f>
        <v>Swobada, Kylie (206)</v>
      </c>
      <c r="R38" t="str">
        <f>"67 - 0"</f>
        <v>67 - 0</v>
      </c>
      <c r="S38" t="str">
        <f>"67 - 0"</f>
        <v>67 - 0</v>
      </c>
    </row>
    <row r="39" spans="1:19" ht="15.75" x14ac:dyDescent="0.25">
      <c r="A39"/>
      <c r="B39" t="str">
        <f>"Buntz, Ben  (202)"</f>
        <v>Buntz, Ben  (202)</v>
      </c>
      <c r="C39" t="str">
        <f>"69 - 0"</f>
        <v>69 - 0</v>
      </c>
      <c r="D39" t="str">
        <f>"69 - 0"</f>
        <v>69 - 0</v>
      </c>
      <c r="E39" s="21"/>
      <c r="F39"/>
      <c r="G39" t="str">
        <f>"Dohms, Gabe (207)"</f>
        <v>Dohms, Gabe (207)</v>
      </c>
      <c r="H39" t="str">
        <f>"53 - 1"</f>
        <v>53 - 1</v>
      </c>
      <c r="I39" t="str">
        <f>"53 - 1"</f>
        <v>53 - 1</v>
      </c>
      <c r="K39" s="53"/>
      <c r="L39" t="str">
        <f>"Arndt, Tiernee (213)"</f>
        <v>Arndt, Tiernee (213)</v>
      </c>
      <c r="M39" t="str">
        <f>"66 - 1"</f>
        <v>66 - 1</v>
      </c>
      <c r="N39" t="str">
        <f>"66 - 1"</f>
        <v>66 - 1</v>
      </c>
      <c r="P39" s="53"/>
      <c r="Q39" t="str">
        <f>"Fasbender, Owen (209)"</f>
        <v>Fasbender, Owen (209)</v>
      </c>
      <c r="R39" t="str">
        <f>"65 - 0"</f>
        <v>65 - 0</v>
      </c>
      <c r="S39" t="str">
        <f>"65 - 0"</f>
        <v>65 - 0</v>
      </c>
    </row>
    <row r="40" spans="1:19" x14ac:dyDescent="0.25">
      <c r="A40"/>
      <c r="B40" t="str">
        <f>"Elmhorst, Brett (208)"</f>
        <v>Elmhorst, Brett (208)</v>
      </c>
      <c r="C40" t="str">
        <f>"65 - 0"</f>
        <v>65 - 0</v>
      </c>
      <c r="D40" t="str">
        <f>"65 - 0"</f>
        <v>65 - 0</v>
      </c>
      <c r="E40" s="28"/>
      <c r="F40"/>
      <c r="G40" t="str">
        <f>"Swobada, Kylie (206)"</f>
        <v>Swobada, Kylie (206)</v>
      </c>
      <c r="H40" t="str">
        <f>"53 - 0"</f>
        <v>53 - 0</v>
      </c>
      <c r="I40" t="str">
        <f>"53 - 0"</f>
        <v>53 - 0</v>
      </c>
      <c r="K40" s="53"/>
      <c r="L40" t="str">
        <f>"Anderson, Pierce (201)"</f>
        <v>Anderson, Pierce (201)</v>
      </c>
      <c r="M40" t="str">
        <f>"66 - 0"</f>
        <v>66 - 0</v>
      </c>
      <c r="N40" t="str">
        <f>"66 - 0"</f>
        <v>66 - 0</v>
      </c>
      <c r="P40" s="53"/>
      <c r="Q40" t="str">
        <f>"Lotts, Riley (204)"</f>
        <v>Lotts, Riley (204)</v>
      </c>
      <c r="R40" t="str">
        <f>"64 - 1"</f>
        <v>64 - 1</v>
      </c>
      <c r="S40" t="str">
        <f>"64 - 1"</f>
        <v>64 - 1</v>
      </c>
    </row>
    <row r="41" spans="1:19" ht="15.75" x14ac:dyDescent="0.25">
      <c r="A41"/>
      <c r="B41" t="str">
        <f>"Lotts, Riley (204)"</f>
        <v>Lotts, Riley (204)</v>
      </c>
      <c r="C41" t="str">
        <f>"65 - 0"</f>
        <v>65 - 0</v>
      </c>
      <c r="D41" t="str">
        <f>"65 - 0"</f>
        <v>65 - 0</v>
      </c>
      <c r="E41" s="20"/>
      <c r="F41"/>
      <c r="G41" t="str">
        <f>"Buntz, Ben  (202)"</f>
        <v>Buntz, Ben  (202)</v>
      </c>
      <c r="H41" t="str">
        <f>"49 - 0"</f>
        <v>49 - 0</v>
      </c>
      <c r="I41" t="str">
        <f>"49 - 0"</f>
        <v>49 - 0</v>
      </c>
      <c r="K41" s="53"/>
      <c r="L41" t="str">
        <f>"Kempe, Kara (203)"</f>
        <v>Kempe, Kara (203)</v>
      </c>
      <c r="M41" t="str">
        <f>"64 - 0"</f>
        <v>64 - 0</v>
      </c>
      <c r="N41" t="str">
        <f>"64 - 0"</f>
        <v>64 - 0</v>
      </c>
      <c r="P41" s="53"/>
      <c r="Q41" t="str">
        <f>"Anderson, Pierce (201)"</f>
        <v>Anderson, Pierce (201)</v>
      </c>
      <c r="R41" t="str">
        <f>"61 - 0"</f>
        <v>61 - 0</v>
      </c>
      <c r="S41" t="str">
        <f>"61 - 0"</f>
        <v>61 - 0</v>
      </c>
    </row>
    <row r="42" spans="1:19" ht="19.5" customHeight="1" x14ac:dyDescent="0.25">
      <c r="A42"/>
      <c r="B42" t="str">
        <f>"Dohms, Gabe (207)"</f>
        <v>Dohms, Gabe (207)</v>
      </c>
      <c r="C42" t="str">
        <f>"57 - 2"</f>
        <v>57 - 2</v>
      </c>
      <c r="D42" t="str">
        <f>"57 - 2"</f>
        <v>57 - 2</v>
      </c>
      <c r="E42" s="20"/>
      <c r="F42"/>
      <c r="G42" t="str">
        <f>"Kempe, Kara (203)"</f>
        <v>Kempe, Kara (203)</v>
      </c>
      <c r="H42" t="str">
        <f>"39 - 0"</f>
        <v>39 - 0</v>
      </c>
      <c r="I42" t="str">
        <f>"39 - 0"</f>
        <v>39 - 0</v>
      </c>
      <c r="K42" s="53"/>
      <c r="L42" t="str">
        <f>"Swobada, Kylie (206)"</f>
        <v>Swobada, Kylie (206)</v>
      </c>
      <c r="M42" t="str">
        <f>"58 - 0"</f>
        <v>58 - 0</v>
      </c>
      <c r="N42" t="str">
        <f>"58 - 0"</f>
        <v>58 - 0</v>
      </c>
      <c r="P42" s="53"/>
      <c r="Q42" t="str">
        <f>"Buntz, Ben  (202)"</f>
        <v>Buntz, Ben  (202)</v>
      </c>
      <c r="R42" t="str">
        <f>"59 - 0"</f>
        <v>59 - 0</v>
      </c>
      <c r="S42" t="str">
        <f>"59 - 0"</f>
        <v>59 - 0</v>
      </c>
    </row>
    <row r="43" spans="1:19" ht="19.5" customHeight="1" x14ac:dyDescent="0.25">
      <c r="A43"/>
      <c r="B43" t="str">
        <f>"Maier, Greysen (210)"</f>
        <v>Maier, Greysen (210)</v>
      </c>
      <c r="C43" t="str">
        <f>"53 - 0"</f>
        <v>53 - 0</v>
      </c>
      <c r="D43" t="str">
        <f>"53 - 0"</f>
        <v>53 - 0</v>
      </c>
      <c r="E43" s="20"/>
      <c r="F43"/>
      <c r="G43" t="str">
        <f>"Maier, Greysen (210)"</f>
        <v>Maier, Greysen (210)</v>
      </c>
      <c r="H43" t="str">
        <f>"34 - 0"</f>
        <v>34 - 0</v>
      </c>
      <c r="I43" t="str">
        <f>"34 - 0"</f>
        <v>34 - 0</v>
      </c>
      <c r="K43" s="53"/>
      <c r="L43" t="str">
        <f>"Buntz, Ben  (202)"</f>
        <v>Buntz, Ben  (202)</v>
      </c>
      <c r="M43" t="str">
        <f>"56 - 0"</f>
        <v>56 - 0</v>
      </c>
      <c r="N43" t="str">
        <f>"56 - 0"</f>
        <v>56 - 0</v>
      </c>
      <c r="P43" s="53"/>
      <c r="Q43" t="str">
        <f>"Dohms, Gabe (207)"</f>
        <v>Dohms, Gabe (207)</v>
      </c>
      <c r="R43" t="str">
        <f>"40 - 0"</f>
        <v>40 - 0</v>
      </c>
      <c r="S43" t="str">
        <f>"40 - 0"</f>
        <v>40 - 0</v>
      </c>
    </row>
    <row r="44" spans="1:19" ht="18.75" customHeight="1" x14ac:dyDescent="0.25">
      <c r="A44"/>
      <c r="B44" t="str">
        <f>"Anderson, Pierce (201)"</f>
        <v>Anderson, Pierce (201)</v>
      </c>
      <c r="C44" t="str">
        <f>"51 - 0"</f>
        <v>51 - 0</v>
      </c>
      <c r="D44" t="str">
        <f>"51 - 0"</f>
        <v>51 - 0</v>
      </c>
      <c r="E44" s="28"/>
      <c r="F44"/>
      <c r="G44" t="str">
        <f>"Anderson, Pierce (201)"</f>
        <v>Anderson, Pierce (201)</v>
      </c>
      <c r="H44" t="str">
        <f>"30 - 0"</f>
        <v>30 - 0</v>
      </c>
      <c r="I44" t="str">
        <f>"30 - 0"</f>
        <v>30 - 0</v>
      </c>
      <c r="K44" s="53"/>
      <c r="L44" t="str">
        <f>"Dohms, Gabe (207)"</f>
        <v>Dohms, Gabe (207)</v>
      </c>
      <c r="M44" t="str">
        <f>"55 - 0"</f>
        <v>55 - 0</v>
      </c>
      <c r="N44" t="str">
        <f>"55 - 0"</f>
        <v>55 - 0</v>
      </c>
      <c r="P44" s="53"/>
      <c r="Q44" t="str">
        <f>"Maier, Greysen (210)"</f>
        <v>Maier, Greysen (210)</v>
      </c>
      <c r="R44" t="str">
        <f>"39 - 0"</f>
        <v>39 - 0</v>
      </c>
      <c r="S44" t="str">
        <f>"39 - 0"</f>
        <v>39 - 0</v>
      </c>
    </row>
    <row r="45" spans="1:19" ht="21" customHeight="1" x14ac:dyDescent="0.25">
      <c r="A45"/>
      <c r="B45"/>
      <c r="C45"/>
      <c r="D45"/>
      <c r="E45" s="20"/>
      <c r="F45" s="21"/>
      <c r="G45" s="21"/>
      <c r="H45" s="25"/>
      <c r="I45" s="21"/>
    </row>
    <row r="46" spans="1:19" ht="19.5" customHeight="1" x14ac:dyDescent="0.25">
      <c r="A46"/>
      <c r="B46" s="52" t="s">
        <v>25</v>
      </c>
      <c r="C46"/>
      <c r="D46"/>
      <c r="E46" s="20"/>
      <c r="F46" s="21"/>
      <c r="G46" s="21"/>
      <c r="H46" s="25"/>
      <c r="I46" s="21"/>
    </row>
    <row r="47" spans="1:19" ht="15.75" customHeight="1" x14ac:dyDescent="0.25">
      <c r="A47" t="s">
        <v>11</v>
      </c>
      <c r="B47" t="s">
        <v>12</v>
      </c>
      <c r="C47" s="50" t="s">
        <v>23</v>
      </c>
      <c r="D47" s="50" t="s">
        <v>13</v>
      </c>
      <c r="E47" s="20"/>
      <c r="F47" t="s">
        <v>11</v>
      </c>
      <c r="G47" t="s">
        <v>12</v>
      </c>
      <c r="H47" s="50" t="s">
        <v>26</v>
      </c>
      <c r="I47" s="50" t="s">
        <v>14</v>
      </c>
      <c r="K47" t="s">
        <v>11</v>
      </c>
      <c r="L47" t="s">
        <v>12</v>
      </c>
      <c r="M47" s="50" t="s">
        <v>27</v>
      </c>
      <c r="N47" s="50" t="s">
        <v>15</v>
      </c>
      <c r="P47" t="s">
        <v>11</v>
      </c>
      <c r="Q47" t="s">
        <v>12</v>
      </c>
      <c r="R47" s="50" t="s">
        <v>28</v>
      </c>
      <c r="S47" s="50" t="s">
        <v>16</v>
      </c>
    </row>
    <row r="48" spans="1:19" ht="15.75" customHeight="1" x14ac:dyDescent="0.25">
      <c r="A48" s="53" t="str">
        <f>"1"</f>
        <v>1</v>
      </c>
      <c r="B48" t="str">
        <f>"Cochran, Wyatt (101)"</f>
        <v>Cochran, Wyatt (101)</v>
      </c>
      <c r="C48" t="str">
        <f>"72 - 0"</f>
        <v>72 - 0</v>
      </c>
      <c r="D48" t="str">
        <f>"72 - 0"</f>
        <v>72 - 0</v>
      </c>
      <c r="E48" s="20"/>
      <c r="F48" s="53" t="str">
        <f>"1"</f>
        <v>1</v>
      </c>
      <c r="G48" t="str">
        <f>"Cochran, Wyatt (101)"</f>
        <v>Cochran, Wyatt (101)</v>
      </c>
      <c r="H48" t="str">
        <f>"58 - 0"</f>
        <v>58 - 0</v>
      </c>
      <c r="I48" t="str">
        <f>"58 - 0"</f>
        <v>58 - 0</v>
      </c>
      <c r="K48" s="53" t="str">
        <f>"1"</f>
        <v>1</v>
      </c>
      <c r="L48" t="str">
        <f>"Cochran, Wyatt (101)"</f>
        <v>Cochran, Wyatt (101)</v>
      </c>
      <c r="M48" t="str">
        <f>"65 - 0"</f>
        <v>65 - 0</v>
      </c>
      <c r="N48" t="str">
        <f>"65 - 0"</f>
        <v>65 - 0</v>
      </c>
      <c r="P48" s="53" t="str">
        <f>"1"</f>
        <v>1</v>
      </c>
      <c r="Q48" t="str">
        <f>"Cochran, Wyatt (101)"</f>
        <v>Cochran, Wyatt (101)</v>
      </c>
      <c r="R48" t="str">
        <f>"65 - 0"</f>
        <v>65 - 0</v>
      </c>
      <c r="S48" t="str">
        <f>"65 - 0"</f>
        <v>65 - 0</v>
      </c>
    </row>
    <row r="49" spans="1:9" ht="15.75" customHeight="1" x14ac:dyDescent="0.25">
      <c r="A49" s="37"/>
      <c r="B49" s="18"/>
      <c r="C49" s="18"/>
      <c r="D49" s="18"/>
      <c r="E49" s="20"/>
      <c r="F49"/>
      <c r="G49"/>
      <c r="H49"/>
      <c r="I49"/>
    </row>
    <row r="50" spans="1:9" ht="15.75" customHeight="1" x14ac:dyDescent="0.25">
      <c r="A50" s="50" t="s">
        <v>29</v>
      </c>
      <c r="B50"/>
      <c r="C50"/>
      <c r="D50"/>
      <c r="E50"/>
      <c r="F50"/>
      <c r="G50"/>
      <c r="H50" s="25"/>
      <c r="I50" s="28"/>
    </row>
    <row r="51" spans="1:9" ht="15.75" customHeight="1" x14ac:dyDescent="0.25">
      <c r="A51" t="s">
        <v>11</v>
      </c>
      <c r="B51" t="s">
        <v>12</v>
      </c>
      <c r="C51" t="s">
        <v>13</v>
      </c>
      <c r="D51" t="s">
        <v>14</v>
      </c>
      <c r="E51" t="s">
        <v>15</v>
      </c>
      <c r="F51" t="s">
        <v>16</v>
      </c>
      <c r="G51" t="s">
        <v>31</v>
      </c>
      <c r="H51" s="23"/>
      <c r="I51" s="21"/>
    </row>
    <row r="52" spans="1:9" ht="15.75" x14ac:dyDescent="0.25">
      <c r="A52" s="53" t="str">
        <f>"1"</f>
        <v>1</v>
      </c>
      <c r="B52" t="str">
        <f>"Chippewa County Pups"</f>
        <v>Chippewa County Pups</v>
      </c>
      <c r="C52" t="str">
        <f>"308 - 3"</f>
        <v>308 - 3</v>
      </c>
      <c r="D52" t="str">
        <f>"249 - 2"</f>
        <v>249 - 2</v>
      </c>
      <c r="E52" t="str">
        <f>"272 - 1"</f>
        <v>272 - 1</v>
      </c>
      <c r="F52" t="str">
        <f>"288 - 3"</f>
        <v>288 - 3</v>
      </c>
      <c r="G52" t="str">
        <f>"1117 - 8"</f>
        <v>1117 - 8</v>
      </c>
      <c r="H52" s="25"/>
      <c r="I52" s="21"/>
    </row>
    <row r="53" spans="1:9" ht="15.75" x14ac:dyDescent="0.25">
      <c r="A53" s="53" t="str">
        <f>""</f>
        <v/>
      </c>
      <c r="B53" t="str">
        <f>"Elmhorst, Chris (301)"</f>
        <v>Elmhorst, Chris (301)</v>
      </c>
      <c r="C53" t="str">
        <f>"88 - 2"</f>
        <v>88 - 2</v>
      </c>
      <c r="D53" t="str">
        <f>"76 - 1"</f>
        <v>76 - 1</v>
      </c>
      <c r="E53" t="str">
        <f>"62 - 0"</f>
        <v>62 - 0</v>
      </c>
      <c r="F53" t="str">
        <f>"73 - 1"</f>
        <v>73 - 1</v>
      </c>
      <c r="G53" t="str">
        <f>"299 - 4"</f>
        <v>299 - 4</v>
      </c>
      <c r="H53" s="25"/>
      <c r="I53" s="21"/>
    </row>
    <row r="54" spans="1:9" ht="15.75" x14ac:dyDescent="0.25">
      <c r="A54" s="53" t="str">
        <f>""</f>
        <v/>
      </c>
      <c r="B54" t="str">
        <f>"Elmhorst, Brett (208)"</f>
        <v>Elmhorst, Brett (208)</v>
      </c>
      <c r="C54" t="str">
        <f>"65 - 0"</f>
        <v>65 - 0</v>
      </c>
      <c r="D54" t="str">
        <f>"59 - 0"</f>
        <v>59 - 0</v>
      </c>
      <c r="E54" t="str">
        <f>"84 - 1"</f>
        <v>84 - 1</v>
      </c>
      <c r="F54" t="str">
        <f>"76 - 2"</f>
        <v>76 - 2</v>
      </c>
      <c r="G54" t="str">
        <f>"284 - 3"</f>
        <v>284 - 3</v>
      </c>
      <c r="H54" s="25"/>
      <c r="I54" s="21"/>
    </row>
    <row r="55" spans="1:9" ht="15.75" x14ac:dyDescent="0.25">
      <c r="A55" s="53" t="str">
        <f>""</f>
        <v/>
      </c>
      <c r="B55" t="str">
        <f>"Sikora, Abigail (205)"</f>
        <v>Sikora, Abigail (205)</v>
      </c>
      <c r="C55" t="str">
        <f>"77 - 0"</f>
        <v>77 - 0</v>
      </c>
      <c r="D55" t="str">
        <f>"61 - 0"</f>
        <v>61 - 0</v>
      </c>
      <c r="E55" t="str">
        <f>"68 - 0"</f>
        <v>68 - 0</v>
      </c>
      <c r="F55" t="str">
        <f>"72 - 0"</f>
        <v>72 - 0</v>
      </c>
      <c r="G55" t="str">
        <f>"278 - 0"</f>
        <v>278 - 0</v>
      </c>
      <c r="H55" s="25"/>
      <c r="I55" s="21"/>
    </row>
    <row r="56" spans="1:9" ht="15.75" x14ac:dyDescent="0.25">
      <c r="A56" s="53" t="str">
        <f>""</f>
        <v/>
      </c>
      <c r="B56" t="str">
        <f>"Swobada, Kylie (206)"</f>
        <v>Swobada, Kylie (206)</v>
      </c>
      <c r="C56" t="str">
        <f>"78 - 1"</f>
        <v>78 - 1</v>
      </c>
      <c r="D56" t="str">
        <f>"53 - 0"</f>
        <v>53 - 0</v>
      </c>
      <c r="E56" t="str">
        <f>"58 - 0"</f>
        <v>58 - 0</v>
      </c>
      <c r="F56" t="str">
        <f>"67 - 0"</f>
        <v>67 - 0</v>
      </c>
      <c r="G56" t="str">
        <f>"256 - 1"</f>
        <v>256 - 1</v>
      </c>
      <c r="H56" s="25"/>
      <c r="I56" s="30"/>
    </row>
    <row r="57" spans="1:9" ht="15.75" x14ac:dyDescent="0.25">
      <c r="A57" s="53" t="str">
        <f>""</f>
        <v/>
      </c>
      <c r="B57" t="str">
        <f>"Dohms, Gabe (207)"</f>
        <v>Dohms, Gabe (207)</v>
      </c>
      <c r="C57" t="str">
        <f>"57 - 2"</f>
        <v>57 - 2</v>
      </c>
      <c r="D57" t="str">
        <f>"53 - 1"</f>
        <v>53 - 1</v>
      </c>
      <c r="E57" t="str">
        <f>"55 - 0"</f>
        <v>55 - 0</v>
      </c>
      <c r="F57" t="str">
        <f>"40 - 0"</f>
        <v>40 - 0</v>
      </c>
      <c r="G57" t="str">
        <f>"205 - 3"</f>
        <v>205 - 3</v>
      </c>
      <c r="H57" s="25"/>
      <c r="I57" s="21"/>
    </row>
    <row r="58" spans="1:9" ht="15.75" x14ac:dyDescent="0.25">
      <c r="A58" s="53"/>
      <c r="B58"/>
      <c r="C58"/>
      <c r="D58"/>
      <c r="E58"/>
      <c r="F58"/>
      <c r="G58"/>
      <c r="H58" s="25"/>
      <c r="I58" s="21"/>
    </row>
    <row r="59" spans="1:9" ht="15.75" x14ac:dyDescent="0.25">
      <c r="A59" s="53" t="str">
        <f>"2"</f>
        <v>2</v>
      </c>
      <c r="B59" t="str">
        <f>"Chippewa County Fawns"</f>
        <v>Chippewa County Fawns</v>
      </c>
      <c r="C59" t="str">
        <f>"295 - 0"</f>
        <v>295 - 0</v>
      </c>
      <c r="D59" t="str">
        <f>"213 - 0"</f>
        <v>213 - 0</v>
      </c>
      <c r="E59" t="str">
        <f>"277 - 1"</f>
        <v>277 - 1</v>
      </c>
      <c r="F59" t="str">
        <f>"261 - 1"</f>
        <v>261 - 1</v>
      </c>
      <c r="G59" t="str">
        <f>"1034 - 2"</f>
        <v>1034 - 2</v>
      </c>
      <c r="H59" s="25"/>
      <c r="I59" s="21"/>
    </row>
    <row r="60" spans="1:9" ht="15.75" x14ac:dyDescent="0.25">
      <c r="A60" t="str">
        <f>""</f>
        <v/>
      </c>
      <c r="B60" t="str">
        <f>"Fasbender, Owen (209)"</f>
        <v>Fasbender, Owen (209)</v>
      </c>
      <c r="C60" t="str">
        <f>"80 - 0"</f>
        <v>80 - 0</v>
      </c>
      <c r="D60" t="str">
        <f>"67 - 0"</f>
        <v>67 - 0</v>
      </c>
      <c r="E60" t="str">
        <f>"82 - 1"</f>
        <v>82 - 1</v>
      </c>
      <c r="F60" t="str">
        <f>"65 - 0"</f>
        <v>65 - 0</v>
      </c>
      <c r="G60" t="str">
        <f>"294 - 1"</f>
        <v>294 - 1</v>
      </c>
      <c r="H60" s="25"/>
      <c r="I60" s="21"/>
    </row>
    <row r="61" spans="1:9" ht="15.75" x14ac:dyDescent="0.25">
      <c r="A61" t="str">
        <f>""</f>
        <v/>
      </c>
      <c r="B61" t="str">
        <f>"Cochran, Wyatt (101)"</f>
        <v>Cochran, Wyatt (101)</v>
      </c>
      <c r="C61" t="str">
        <f>"72 - 0"</f>
        <v>72 - 0</v>
      </c>
      <c r="D61" t="str">
        <f>"58 - 0"</f>
        <v>58 - 0</v>
      </c>
      <c r="E61" t="str">
        <f>"65 - 0"</f>
        <v>65 - 0</v>
      </c>
      <c r="F61" t="str">
        <f>"65 - 0"</f>
        <v>65 - 0</v>
      </c>
      <c r="G61" t="str">
        <f>"260 - 0"</f>
        <v>260 - 0</v>
      </c>
      <c r="H61" s="29"/>
      <c r="I61" s="21"/>
    </row>
    <row r="62" spans="1:9" ht="15.75" x14ac:dyDescent="0.25">
      <c r="A62" t="str">
        <f>""</f>
        <v/>
      </c>
      <c r="B62" t="str">
        <f>"Kempe, Kara (203)"</f>
        <v>Kempe, Kara (203)</v>
      </c>
      <c r="C62" t="str">
        <f>"74 - 0"</f>
        <v>74 - 0</v>
      </c>
      <c r="D62" t="str">
        <f>"39 - 0"</f>
        <v>39 - 0</v>
      </c>
      <c r="E62" t="str">
        <f>"64 - 0"</f>
        <v>64 - 0</v>
      </c>
      <c r="F62" t="str">
        <f>"70 - 1"</f>
        <v>70 - 1</v>
      </c>
      <c r="G62" t="str">
        <f>"247 - 1"</f>
        <v>247 - 1</v>
      </c>
      <c r="H62" s="29"/>
      <c r="I62" s="21"/>
    </row>
    <row r="63" spans="1:9" ht="15.75" x14ac:dyDescent="0.25">
      <c r="A63" t="str">
        <f>""</f>
        <v/>
      </c>
      <c r="B63" t="str">
        <f>"Buntz, Ben  (202)"</f>
        <v>Buntz, Ben  (202)</v>
      </c>
      <c r="C63" t="str">
        <f>"69 - 0"</f>
        <v>69 - 0</v>
      </c>
      <c r="D63" t="str">
        <f>"49 - 0"</f>
        <v>49 - 0</v>
      </c>
      <c r="E63" t="str">
        <f>"56 - 0"</f>
        <v>56 - 0</v>
      </c>
      <c r="F63" t="str">
        <f>"59 - 0"</f>
        <v>59 - 0</v>
      </c>
      <c r="G63" t="str">
        <f>"233 - 0"</f>
        <v>233 - 0</v>
      </c>
      <c r="H63" s="29"/>
      <c r="I63" s="21"/>
    </row>
    <row r="64" spans="1:9" ht="15.75" x14ac:dyDescent="0.25">
      <c r="A64" t="str">
        <f>""</f>
        <v/>
      </c>
      <c r="B64" t="str">
        <f>"Anderson, Pierce (201)"</f>
        <v>Anderson, Pierce (201)</v>
      </c>
      <c r="C64" t="str">
        <f>"51 - 0"</f>
        <v>51 - 0</v>
      </c>
      <c r="D64" t="str">
        <f>"30 - 0"</f>
        <v>30 - 0</v>
      </c>
      <c r="E64" t="str">
        <f>"66 - 0"</f>
        <v>66 - 0</v>
      </c>
      <c r="F64" t="str">
        <f>"61 - 0"</f>
        <v>61 - 0</v>
      </c>
      <c r="G64" t="str">
        <f>"208 - 0"</f>
        <v>208 - 0</v>
      </c>
      <c r="H64" s="29"/>
      <c r="I64" s="21"/>
    </row>
    <row r="65" spans="1:9" ht="15.75" x14ac:dyDescent="0.25">
      <c r="A65" s="20"/>
      <c r="B65" s="18"/>
      <c r="C65" s="18"/>
      <c r="D65" s="34"/>
      <c r="E65" s="27"/>
      <c r="F65" s="21"/>
      <c r="G65" s="28"/>
      <c r="H65" s="29"/>
      <c r="I65" s="21"/>
    </row>
    <row r="66" spans="1:9" ht="15.75" hidden="1" x14ac:dyDescent="0.25">
      <c r="A66" s="20"/>
      <c r="B66" s="18"/>
      <c r="C66" s="18"/>
      <c r="D66" s="34"/>
      <c r="E66" s="27"/>
      <c r="F66" s="21"/>
      <c r="G66" s="28"/>
      <c r="H66" s="29"/>
      <c r="I66" s="21"/>
    </row>
    <row r="67" spans="1:9" ht="15.75" hidden="1" x14ac:dyDescent="0.25">
      <c r="A67" s="20"/>
      <c r="B67" s="18"/>
      <c r="C67" s="18"/>
      <c r="D67" s="34"/>
      <c r="E67" s="27"/>
      <c r="F67" s="21"/>
      <c r="G67" s="28"/>
      <c r="H67" s="29"/>
      <c r="I67" s="21"/>
    </row>
    <row r="68" spans="1:9" ht="15.75" hidden="1" x14ac:dyDescent="0.25">
      <c r="A68" s="20"/>
      <c r="B68" s="18"/>
      <c r="C68" s="18"/>
      <c r="D68" s="18"/>
      <c r="E68" s="20"/>
      <c r="F68" s="21"/>
      <c r="G68" s="21"/>
      <c r="H68" s="25"/>
      <c r="I68" s="21"/>
    </row>
    <row r="69" spans="1:9" ht="15.75" hidden="1" x14ac:dyDescent="0.25">
      <c r="A69" s="20"/>
      <c r="B69" s="18"/>
      <c r="C69" s="18"/>
      <c r="D69" s="18"/>
      <c r="E69" s="20"/>
      <c r="F69" s="21"/>
      <c r="G69" s="21"/>
      <c r="H69" s="25"/>
      <c r="I69" s="21"/>
    </row>
    <row r="70" spans="1:9" ht="15.75" hidden="1" x14ac:dyDescent="0.25">
      <c r="A70" s="20"/>
      <c r="B70" s="18"/>
      <c r="C70" s="18"/>
      <c r="D70" s="18"/>
      <c r="E70" s="20"/>
      <c r="F70" s="21"/>
      <c r="G70" s="21"/>
      <c r="H70" s="29"/>
      <c r="I70" s="28"/>
    </row>
    <row r="71" spans="1:9" ht="15.75" hidden="1" x14ac:dyDescent="0.25">
      <c r="A71" s="20"/>
      <c r="B71" s="18"/>
      <c r="C71" s="18"/>
      <c r="D71" s="34"/>
      <c r="E71" s="27"/>
      <c r="F71" s="21"/>
      <c r="G71" s="21"/>
      <c r="H71" s="25"/>
      <c r="I71" s="21"/>
    </row>
    <row r="72" spans="1:9" ht="15.75" x14ac:dyDescent="0.25">
      <c r="A72" s="20"/>
      <c r="B72" s="18"/>
      <c r="C72" s="18"/>
      <c r="D72" s="34"/>
      <c r="E72" s="27"/>
      <c r="F72" s="21"/>
      <c r="G72" s="21"/>
      <c r="H72" s="25"/>
      <c r="I72" s="21"/>
    </row>
    <row r="73" spans="1:9" ht="15.75" x14ac:dyDescent="0.25">
      <c r="A73" s="20"/>
      <c r="B73" s="18"/>
      <c r="C73" s="18"/>
      <c r="D73" s="34"/>
      <c r="E73" s="20"/>
      <c r="F73" s="21"/>
      <c r="G73" s="21"/>
      <c r="H73" s="25"/>
      <c r="I73" s="21"/>
    </row>
    <row r="74" spans="1:9" ht="15.75" x14ac:dyDescent="0.25">
      <c r="A74" s="37"/>
      <c r="B74" s="18"/>
      <c r="C74" s="18"/>
      <c r="D74" s="18"/>
      <c r="E74" s="20"/>
      <c r="F74" s="21"/>
      <c r="G74" s="21"/>
      <c r="H74" s="25"/>
      <c r="I74" s="21"/>
    </row>
    <row r="75" spans="1:9" ht="15.75" x14ac:dyDescent="0.25">
      <c r="A75" s="28"/>
      <c r="B75" s="38"/>
      <c r="C75" s="18"/>
      <c r="D75" s="18"/>
      <c r="E75" s="30"/>
      <c r="F75" s="21"/>
      <c r="G75" s="21"/>
      <c r="H75" s="25"/>
      <c r="I75" s="28"/>
    </row>
    <row r="76" spans="1:9" ht="15.75" x14ac:dyDescent="0.25">
      <c r="A76" s="17"/>
      <c r="B76" s="39"/>
      <c r="C76" s="19"/>
      <c r="D76" s="19"/>
      <c r="E76" s="20"/>
      <c r="F76" s="21"/>
      <c r="G76" s="22"/>
      <c r="H76" s="23"/>
      <c r="I76" s="21"/>
    </row>
    <row r="77" spans="1:9" ht="15.75" x14ac:dyDescent="0.25">
      <c r="A77" s="24"/>
      <c r="B77" s="18"/>
      <c r="C77" s="18"/>
      <c r="D77" s="18"/>
      <c r="E77" s="20"/>
      <c r="F77" s="21"/>
      <c r="G77" s="21"/>
      <c r="H77" s="25"/>
      <c r="I77" s="26"/>
    </row>
    <row r="78" spans="1:9" ht="15.75" x14ac:dyDescent="0.25">
      <c r="A78" s="20"/>
      <c r="B78" s="18"/>
      <c r="C78" s="18"/>
      <c r="D78" s="18"/>
      <c r="E78" s="20"/>
      <c r="F78" s="21"/>
      <c r="G78" s="21"/>
      <c r="H78" s="25"/>
      <c r="I78" s="26"/>
    </row>
    <row r="79" spans="1:9" ht="15.75" x14ac:dyDescent="0.25">
      <c r="A79" s="20"/>
      <c r="B79" s="18"/>
      <c r="C79" s="18"/>
      <c r="D79" s="18"/>
      <c r="E79" s="20"/>
      <c r="F79" s="21"/>
      <c r="G79" s="21"/>
      <c r="H79" s="25"/>
      <c r="I79" s="26"/>
    </row>
    <row r="80" spans="1:9" ht="15.75" x14ac:dyDescent="0.25">
      <c r="A80" s="20"/>
      <c r="B80" s="18"/>
      <c r="C80" s="18"/>
      <c r="D80" s="18"/>
      <c r="E80" s="20"/>
      <c r="F80" s="21"/>
      <c r="G80" s="21"/>
      <c r="H80" s="25"/>
      <c r="I80" s="26"/>
    </row>
    <row r="81" spans="1:9" ht="15.75" x14ac:dyDescent="0.25">
      <c r="A81" s="20"/>
      <c r="B81" s="40"/>
      <c r="C81" s="18"/>
      <c r="D81" s="18"/>
      <c r="E81" s="28"/>
      <c r="F81" s="21"/>
      <c r="G81" s="21"/>
      <c r="H81" s="25"/>
      <c r="I81" s="26"/>
    </row>
    <row r="82" spans="1:9" ht="15.75" x14ac:dyDescent="0.25">
      <c r="A82" s="20"/>
      <c r="B82" s="18"/>
      <c r="C82" s="18"/>
      <c r="D82" s="18"/>
      <c r="E82" s="20"/>
      <c r="F82" s="21"/>
      <c r="G82" s="21"/>
      <c r="H82" s="25"/>
      <c r="I82" s="25"/>
    </row>
    <row r="83" spans="1:9" ht="15.75" x14ac:dyDescent="0.25">
      <c r="A83" s="21"/>
      <c r="B83" s="18"/>
      <c r="C83" s="18"/>
      <c r="D83" s="18"/>
      <c r="E83" s="20"/>
      <c r="F83" s="21"/>
      <c r="G83" s="21"/>
      <c r="H83" s="25"/>
      <c r="I83" s="21"/>
    </row>
    <row r="84" spans="1:9" ht="15.75" x14ac:dyDescent="0.25">
      <c r="A84" s="21"/>
      <c r="B84" s="18"/>
      <c r="C84" s="28"/>
      <c r="D84" s="18"/>
      <c r="E84" s="20"/>
      <c r="F84" s="21"/>
      <c r="G84" s="21"/>
      <c r="H84" s="28"/>
      <c r="I84" s="26"/>
    </row>
    <row r="85" spans="1:9" ht="15.75" x14ac:dyDescent="0.25">
      <c r="A85" s="20"/>
      <c r="B85" s="18"/>
      <c r="C85" s="28"/>
      <c r="D85" s="18"/>
      <c r="E85" s="20"/>
      <c r="F85" s="21"/>
      <c r="G85" s="21"/>
      <c r="H85" s="28"/>
      <c r="I85" s="26"/>
    </row>
    <row r="86" spans="1:9" ht="15.75" x14ac:dyDescent="0.25">
      <c r="A86" s="20"/>
      <c r="B86" s="18"/>
      <c r="C86" s="28"/>
      <c r="D86" s="18"/>
      <c r="E86" s="20"/>
      <c r="F86" s="21"/>
      <c r="G86" s="21"/>
      <c r="H86" s="28"/>
      <c r="I86" s="21"/>
    </row>
    <row r="87" spans="1:9" ht="15.75" x14ac:dyDescent="0.25">
      <c r="A87" s="20"/>
      <c r="B87" s="20"/>
      <c r="C87" s="18"/>
      <c r="D87" s="18"/>
      <c r="E87" s="20"/>
      <c r="F87" s="21"/>
      <c r="G87" s="21"/>
      <c r="H87" s="25"/>
      <c r="I87" s="21"/>
    </row>
    <row r="88" spans="1:9" ht="15.75" x14ac:dyDescent="0.25">
      <c r="A88" s="20"/>
      <c r="B88" s="41"/>
      <c r="C88" s="41"/>
      <c r="D88" s="18"/>
      <c r="E88" s="20"/>
      <c r="F88" s="21"/>
      <c r="G88" s="21"/>
      <c r="H88" s="25"/>
      <c r="I88" s="26"/>
    </row>
    <row r="89" spans="1:9" ht="15.75" x14ac:dyDescent="0.25">
      <c r="A89" s="20"/>
      <c r="B89" s="41"/>
      <c r="C89" s="41"/>
      <c r="D89" s="18"/>
      <c r="E89" s="20"/>
      <c r="F89" s="21"/>
      <c r="G89" s="21"/>
      <c r="H89" s="25"/>
      <c r="I89" s="26"/>
    </row>
    <row r="90" spans="1:9" ht="15.75" x14ac:dyDescent="0.25">
      <c r="A90" s="20"/>
      <c r="B90" s="41"/>
      <c r="C90" s="41"/>
      <c r="D90" s="18"/>
      <c r="E90" s="31"/>
      <c r="F90" s="32"/>
      <c r="G90" s="21"/>
      <c r="H90" s="25"/>
      <c r="I90" s="26"/>
    </row>
    <row r="91" spans="1:9" ht="15.75" hidden="1" x14ac:dyDescent="0.25">
      <c r="A91" s="20"/>
      <c r="B91" s="18"/>
      <c r="C91" s="18"/>
      <c r="D91" s="18"/>
      <c r="E91" s="20"/>
      <c r="F91" s="21"/>
      <c r="G91" s="21"/>
      <c r="H91" s="25"/>
      <c r="I91" s="26"/>
    </row>
    <row r="92" spans="1:9" ht="15.75" hidden="1" x14ac:dyDescent="0.25">
      <c r="A92" s="20"/>
      <c r="B92" s="18"/>
      <c r="C92" s="18"/>
      <c r="D92" s="18"/>
      <c r="E92" s="27"/>
      <c r="F92" s="21"/>
      <c r="G92" s="21"/>
      <c r="H92" s="29"/>
      <c r="I92" s="26"/>
    </row>
    <row r="93" spans="1:9" ht="15.75" hidden="1" x14ac:dyDescent="0.25">
      <c r="A93" s="20"/>
      <c r="B93" s="18"/>
      <c r="C93" s="18"/>
      <c r="D93" s="18"/>
      <c r="E93" s="27"/>
      <c r="F93" s="21"/>
      <c r="G93" s="21"/>
      <c r="H93" s="29"/>
      <c r="I93" s="21"/>
    </row>
    <row r="94" spans="1:9" ht="15.75" hidden="1" x14ac:dyDescent="0.25">
      <c r="A94" s="20"/>
      <c r="B94" s="18"/>
      <c r="C94" s="18"/>
      <c r="D94" s="18"/>
      <c r="E94" s="27"/>
      <c r="F94" s="21"/>
      <c r="G94" s="21"/>
      <c r="H94" s="29"/>
      <c r="I94" s="21"/>
    </row>
    <row r="95" spans="1:9" ht="15.75" hidden="1" x14ac:dyDescent="0.25">
      <c r="A95" s="20"/>
      <c r="B95" s="18"/>
      <c r="C95" s="18"/>
      <c r="D95" s="18"/>
      <c r="E95" s="27"/>
      <c r="F95" s="21"/>
      <c r="G95" s="21"/>
      <c r="H95" s="29"/>
      <c r="I95" s="21"/>
    </row>
    <row r="96" spans="1:9" ht="15.75" hidden="1" x14ac:dyDescent="0.25">
      <c r="A96" s="20"/>
      <c r="B96" s="18"/>
      <c r="C96" s="18"/>
      <c r="D96" s="18"/>
      <c r="E96" s="27"/>
      <c r="F96" s="21"/>
      <c r="G96" s="21"/>
      <c r="H96" s="29"/>
      <c r="I96" s="21"/>
    </row>
    <row r="97" spans="1:9" ht="15.75" hidden="1" x14ac:dyDescent="0.25">
      <c r="A97" s="20"/>
      <c r="B97" s="18"/>
      <c r="C97" s="18"/>
      <c r="D97" s="18"/>
      <c r="E97" s="27"/>
      <c r="F97" s="21"/>
      <c r="G97" s="21"/>
      <c r="H97" s="29"/>
      <c r="I97" s="21"/>
    </row>
    <row r="98" spans="1:9" ht="15.75" hidden="1" x14ac:dyDescent="0.25">
      <c r="A98" s="20"/>
      <c r="B98" s="18"/>
      <c r="C98" s="18"/>
      <c r="D98" s="18"/>
      <c r="E98" s="27"/>
      <c r="F98" s="21"/>
      <c r="G98" s="21"/>
      <c r="H98" s="29"/>
      <c r="I98" s="21"/>
    </row>
    <row r="99" spans="1:9" ht="15.75" hidden="1" x14ac:dyDescent="0.25">
      <c r="A99" s="20"/>
      <c r="B99" s="18"/>
      <c r="C99" s="18"/>
      <c r="D99" s="18"/>
      <c r="E99" s="20"/>
      <c r="F99" s="21"/>
      <c r="G99" s="21"/>
      <c r="H99" s="25"/>
      <c r="I99" s="21"/>
    </row>
    <row r="100" spans="1:9" ht="15.75" hidden="1" x14ac:dyDescent="0.25">
      <c r="A100" s="20"/>
      <c r="B100" s="18"/>
      <c r="C100" s="18"/>
      <c r="D100" s="18"/>
      <c r="E100" s="20"/>
      <c r="F100" s="21"/>
      <c r="G100" s="21"/>
      <c r="H100" s="25"/>
      <c r="I100" s="21"/>
    </row>
    <row r="101" spans="1:9" hidden="1" x14ac:dyDescent="0.25">
      <c r="A101" s="28"/>
      <c r="B101" s="27"/>
      <c r="C101" s="34"/>
      <c r="D101" s="34"/>
      <c r="E101" s="27"/>
      <c r="F101" s="28"/>
      <c r="G101" s="28"/>
      <c r="H101" s="29"/>
      <c r="I101" s="28"/>
    </row>
    <row r="102" spans="1:9" ht="15.75" x14ac:dyDescent="0.25">
      <c r="A102" s="20"/>
      <c r="B102" s="18"/>
      <c r="C102" s="18"/>
      <c r="D102" s="34"/>
      <c r="E102" s="27"/>
      <c r="F102" s="21"/>
      <c r="G102" s="21"/>
      <c r="H102" s="25"/>
      <c r="I102" s="21"/>
    </row>
    <row r="103" spans="1:9" x14ac:dyDescent="0.25">
      <c r="A103" s="28"/>
      <c r="B103" s="34"/>
      <c r="C103" s="42"/>
      <c r="D103" s="34"/>
      <c r="E103" s="27"/>
      <c r="F103" s="28"/>
      <c r="G103" s="28"/>
      <c r="H103" s="29"/>
      <c r="I103" s="28"/>
    </row>
    <row r="104" spans="1:9" ht="15.75" x14ac:dyDescent="0.25">
      <c r="A104" s="43"/>
      <c r="B104" s="18"/>
      <c r="C104" s="18"/>
      <c r="D104" s="18"/>
      <c r="E104" s="20"/>
      <c r="F104" s="21"/>
      <c r="G104" s="21"/>
      <c r="H104" s="25"/>
      <c r="I104" s="21"/>
    </row>
    <row r="105" spans="1:9" ht="15.75" x14ac:dyDescent="0.25">
      <c r="A105" s="35"/>
      <c r="B105" s="36"/>
      <c r="C105" s="18"/>
      <c r="D105" s="18"/>
      <c r="E105" s="20"/>
      <c r="F105" s="21"/>
      <c r="G105" s="21"/>
      <c r="H105" s="25"/>
      <c r="I105" s="28"/>
    </row>
    <row r="106" spans="1:9" ht="15.75" x14ac:dyDescent="0.25">
      <c r="A106" s="17"/>
      <c r="B106" s="39"/>
      <c r="C106" s="19"/>
      <c r="D106" s="19"/>
      <c r="E106" s="20"/>
      <c r="F106" s="21"/>
      <c r="G106" s="22"/>
      <c r="H106" s="23"/>
      <c r="I106" s="21"/>
    </row>
    <row r="107" spans="1:9" ht="15.75" x14ac:dyDescent="0.25">
      <c r="A107" s="24"/>
      <c r="B107" s="18"/>
      <c r="C107" s="18"/>
      <c r="D107" s="18"/>
      <c r="E107" s="31"/>
      <c r="F107" s="32"/>
      <c r="G107" s="21"/>
      <c r="H107" s="25"/>
      <c r="I107" s="21"/>
    </row>
    <row r="108" spans="1:9" ht="15.75" x14ac:dyDescent="0.25">
      <c r="A108" s="20"/>
      <c r="B108" s="28"/>
      <c r="C108" s="28"/>
      <c r="D108" s="28"/>
      <c r="E108" s="28"/>
      <c r="F108" s="28"/>
      <c r="G108" s="28"/>
      <c r="H108" s="25"/>
      <c r="I108" s="21"/>
    </row>
    <row r="109" spans="1:9" ht="15.75" x14ac:dyDescent="0.25">
      <c r="A109" s="20"/>
      <c r="B109" s="18"/>
      <c r="C109" s="18"/>
      <c r="D109" s="18"/>
      <c r="E109" s="20"/>
      <c r="F109" s="21"/>
      <c r="G109" s="21"/>
      <c r="H109" s="25"/>
      <c r="I109" s="26"/>
    </row>
    <row r="110" spans="1:9" ht="15.75" x14ac:dyDescent="0.25">
      <c r="A110" s="20"/>
      <c r="B110" s="40"/>
      <c r="C110" s="44"/>
      <c r="D110" s="18"/>
      <c r="E110" s="20"/>
      <c r="F110" s="21"/>
      <c r="G110" s="21"/>
      <c r="H110" s="25"/>
      <c r="I110" s="21"/>
    </row>
    <row r="111" spans="1:9" ht="15.75" x14ac:dyDescent="0.25">
      <c r="A111" s="20"/>
      <c r="B111" s="45"/>
      <c r="C111" s="44"/>
      <c r="D111" s="18"/>
      <c r="E111" s="20"/>
      <c r="F111" s="21"/>
      <c r="G111" s="21"/>
      <c r="H111" s="25"/>
      <c r="I111" s="21"/>
    </row>
    <row r="112" spans="1:9" ht="15.75" x14ac:dyDescent="0.25">
      <c r="A112" s="21"/>
      <c r="B112" s="34"/>
      <c r="C112" s="34"/>
      <c r="D112" s="34"/>
      <c r="E112" s="20"/>
      <c r="F112" s="21"/>
      <c r="G112" s="28"/>
      <c r="H112" s="29"/>
      <c r="I112" s="21"/>
    </row>
    <row r="113" spans="1:9" ht="15.75" x14ac:dyDescent="0.25">
      <c r="A113" s="21"/>
      <c r="B113" s="18"/>
      <c r="C113" s="18"/>
      <c r="D113" s="18"/>
      <c r="E113" s="31"/>
      <c r="F113" s="32"/>
      <c r="G113" s="21"/>
      <c r="H113" s="25"/>
      <c r="I113" s="21"/>
    </row>
    <row r="114" spans="1:9" ht="15.75" x14ac:dyDescent="0.25">
      <c r="A114" s="21"/>
      <c r="B114" s="18"/>
      <c r="C114" s="28"/>
      <c r="D114" s="18"/>
      <c r="E114" s="20"/>
      <c r="F114" s="21"/>
      <c r="G114" s="21"/>
      <c r="H114" s="25"/>
      <c r="I114" s="21"/>
    </row>
    <row r="115" spans="1:9" ht="15.75" x14ac:dyDescent="0.25">
      <c r="A115" s="21"/>
      <c r="B115" s="18"/>
      <c r="C115" s="28"/>
      <c r="D115" s="18"/>
      <c r="E115" s="20"/>
      <c r="F115" s="21"/>
      <c r="G115" s="21"/>
      <c r="H115" s="25"/>
      <c r="I115" s="21"/>
    </row>
    <row r="116" spans="1:9" ht="15.75" x14ac:dyDescent="0.25">
      <c r="A116" s="20"/>
      <c r="B116" s="18"/>
      <c r="C116" s="18"/>
      <c r="D116" s="18"/>
      <c r="E116" s="20"/>
      <c r="F116" s="21"/>
      <c r="G116" s="21"/>
      <c r="H116" s="29"/>
      <c r="I116" s="26"/>
    </row>
    <row r="117" spans="1:9" ht="15.75" x14ac:dyDescent="0.25">
      <c r="A117" s="20"/>
      <c r="B117" s="18"/>
      <c r="C117" s="18"/>
      <c r="D117" s="18"/>
      <c r="E117" s="20"/>
      <c r="F117" s="21"/>
      <c r="G117" s="21"/>
      <c r="H117" s="25"/>
      <c r="I117" s="21"/>
    </row>
    <row r="118" spans="1:9" ht="15.75" x14ac:dyDescent="0.25">
      <c r="A118" s="20"/>
      <c r="B118" s="18"/>
      <c r="C118" s="18"/>
      <c r="D118" s="18"/>
      <c r="E118" s="20"/>
      <c r="F118" s="21"/>
      <c r="G118" s="21"/>
      <c r="H118" s="29"/>
      <c r="I118" s="26"/>
    </row>
    <row r="119" spans="1:9" ht="15.75" x14ac:dyDescent="0.25">
      <c r="A119" s="20"/>
      <c r="B119" s="18"/>
      <c r="C119" s="18"/>
      <c r="D119" s="18"/>
      <c r="E119" s="20"/>
      <c r="F119" s="21"/>
      <c r="G119" s="21"/>
      <c r="H119" s="25"/>
      <c r="I119" s="21"/>
    </row>
    <row r="120" spans="1:9" ht="15.75" x14ac:dyDescent="0.25">
      <c r="A120" s="20"/>
      <c r="B120" s="46"/>
      <c r="C120" s="34"/>
      <c r="D120" s="18"/>
      <c r="E120" s="20"/>
      <c r="F120" s="21"/>
      <c r="G120" s="21"/>
      <c r="H120" s="25"/>
      <c r="I120" s="21"/>
    </row>
    <row r="121" spans="1:9" ht="15.75" x14ac:dyDescent="0.25">
      <c r="A121" s="20"/>
      <c r="B121" s="47"/>
      <c r="C121" s="34"/>
      <c r="D121" s="18"/>
      <c r="E121" s="20"/>
      <c r="F121" s="21"/>
      <c r="G121" s="21"/>
      <c r="H121" s="25"/>
      <c r="I121" s="21"/>
    </row>
    <row r="122" spans="1:9" x14ac:dyDescent="0.25">
      <c r="A122" s="28"/>
      <c r="B122" s="34"/>
      <c r="C122" s="34"/>
      <c r="D122" s="34"/>
      <c r="E122" s="27"/>
      <c r="F122" s="28"/>
      <c r="G122" s="28"/>
      <c r="H122" s="29"/>
      <c r="I122" s="28"/>
    </row>
    <row r="123" spans="1:9" ht="15.75" x14ac:dyDescent="0.25">
      <c r="A123" s="37"/>
      <c r="B123" s="18"/>
      <c r="C123" s="18"/>
      <c r="D123" s="18"/>
      <c r="E123" s="20"/>
      <c r="F123" s="21"/>
      <c r="G123" s="21"/>
      <c r="H123" s="25"/>
      <c r="I123" s="21"/>
    </row>
    <row r="124" spans="1:9" ht="15.75" x14ac:dyDescent="0.25">
      <c r="A124" s="35"/>
      <c r="B124" s="38"/>
      <c r="C124" s="18"/>
      <c r="D124" s="18"/>
      <c r="E124" s="20"/>
      <c r="F124" s="21"/>
      <c r="G124" s="21"/>
      <c r="H124" s="25"/>
      <c r="I124" s="28"/>
    </row>
    <row r="125" spans="1:9" ht="15.75" x14ac:dyDescent="0.25">
      <c r="A125" s="17"/>
      <c r="B125" s="18"/>
      <c r="C125" s="19"/>
      <c r="D125" s="19"/>
      <c r="E125" s="20"/>
      <c r="F125" s="21"/>
      <c r="G125" s="22"/>
      <c r="H125" s="23"/>
      <c r="I125" s="21"/>
    </row>
    <row r="126" spans="1:9" ht="15.75" x14ac:dyDescent="0.25">
      <c r="A126" s="24"/>
      <c r="B126" s="18"/>
      <c r="C126" s="18"/>
      <c r="D126" s="18"/>
      <c r="E126" s="20"/>
      <c r="F126" s="21"/>
      <c r="G126" s="21"/>
      <c r="H126" s="25"/>
      <c r="I126" s="21"/>
    </row>
    <row r="127" spans="1:9" ht="15.75" x14ac:dyDescent="0.25">
      <c r="A127" s="20"/>
      <c r="B127" s="18"/>
      <c r="C127" s="18"/>
      <c r="D127" s="18"/>
      <c r="E127" s="20"/>
      <c r="F127" s="21"/>
      <c r="G127" s="21"/>
      <c r="H127" s="25"/>
      <c r="I127" s="21"/>
    </row>
    <row r="128" spans="1:9" ht="15.75" x14ac:dyDescent="0.25">
      <c r="A128" s="20"/>
      <c r="B128" s="18"/>
      <c r="C128" s="18"/>
      <c r="D128" s="18"/>
      <c r="E128" s="31"/>
      <c r="F128" s="32"/>
      <c r="G128" s="21"/>
      <c r="H128" s="25"/>
      <c r="I128" s="21"/>
    </row>
    <row r="129" spans="1:9" ht="15.75" x14ac:dyDescent="0.25">
      <c r="A129" s="20"/>
      <c r="B129" s="18"/>
      <c r="C129" s="18"/>
      <c r="D129" s="18"/>
      <c r="E129" s="20"/>
      <c r="F129" s="21"/>
      <c r="G129" s="21"/>
      <c r="H129" s="25"/>
      <c r="I129" s="21"/>
    </row>
    <row r="130" spans="1:9" ht="15.75" x14ac:dyDescent="0.25">
      <c r="A130" s="20"/>
      <c r="B130" s="18"/>
      <c r="C130" s="18"/>
      <c r="D130" s="18"/>
      <c r="E130" s="20"/>
      <c r="F130" s="21"/>
      <c r="G130" s="21"/>
      <c r="H130" s="25"/>
      <c r="I130" s="21"/>
    </row>
    <row r="131" spans="1:9" ht="15.75" x14ac:dyDescent="0.25">
      <c r="A131" s="21"/>
      <c r="B131" s="18"/>
      <c r="C131" s="18"/>
      <c r="D131" s="18"/>
      <c r="E131" s="20"/>
      <c r="F131" s="21"/>
      <c r="G131" s="21"/>
      <c r="H131" s="25"/>
      <c r="I131" s="21"/>
    </row>
    <row r="132" spans="1:9" ht="15.75" x14ac:dyDescent="0.25">
      <c r="A132" s="20"/>
      <c r="B132" s="18"/>
      <c r="C132" s="18"/>
      <c r="D132" s="18"/>
      <c r="E132" s="20"/>
      <c r="F132" s="21"/>
      <c r="G132" s="21"/>
      <c r="H132" s="25"/>
      <c r="I132" s="21"/>
    </row>
    <row r="133" spans="1:9" ht="15.75" x14ac:dyDescent="0.25">
      <c r="A133" s="20"/>
      <c r="B133" s="18"/>
      <c r="C133" s="28"/>
      <c r="D133" s="34"/>
      <c r="E133" s="28"/>
      <c r="F133" s="28"/>
      <c r="G133" s="21"/>
      <c r="H133" s="28"/>
      <c r="I133" s="28"/>
    </row>
    <row r="134" spans="1:9" ht="15.75" x14ac:dyDescent="0.25">
      <c r="A134" s="20"/>
      <c r="B134" s="18"/>
      <c r="C134" s="18"/>
      <c r="D134" s="18"/>
      <c r="E134" s="20"/>
      <c r="F134" s="21"/>
      <c r="G134" s="21"/>
      <c r="H134" s="25"/>
      <c r="I134" s="21"/>
    </row>
    <row r="135" spans="1:9" ht="15.75" x14ac:dyDescent="0.25">
      <c r="A135" s="20"/>
      <c r="B135" s="18"/>
      <c r="C135" s="18"/>
      <c r="D135" s="18"/>
      <c r="E135" s="20"/>
      <c r="F135" s="21"/>
      <c r="G135" s="21"/>
      <c r="H135" s="25"/>
      <c r="I135" s="21"/>
    </row>
    <row r="136" spans="1:9" ht="15.75" x14ac:dyDescent="0.25">
      <c r="A136" s="20"/>
      <c r="B136" s="18"/>
      <c r="C136" s="18"/>
      <c r="D136" s="34"/>
      <c r="E136" s="28"/>
      <c r="F136" s="21"/>
      <c r="G136" s="21"/>
      <c r="H136" s="25"/>
      <c r="I136" s="28"/>
    </row>
    <row r="137" spans="1:9" ht="15.75" x14ac:dyDescent="0.25">
      <c r="A137" s="20"/>
      <c r="B137" s="18"/>
      <c r="C137" s="18"/>
      <c r="D137" s="18"/>
      <c r="E137" s="20"/>
      <c r="F137" s="21"/>
      <c r="G137" s="21"/>
      <c r="H137" s="25"/>
      <c r="I137" s="21"/>
    </row>
    <row r="138" spans="1:9" ht="15.75" x14ac:dyDescent="0.25">
      <c r="A138" s="20"/>
      <c r="B138" s="18"/>
      <c r="C138" s="18"/>
      <c r="D138" s="18"/>
      <c r="E138" s="20"/>
      <c r="F138" s="21"/>
      <c r="G138" s="21"/>
      <c r="H138" s="25"/>
      <c r="I138" s="21"/>
    </row>
    <row r="139" spans="1:9" ht="15.75" x14ac:dyDescent="0.25">
      <c r="A139" s="20"/>
      <c r="B139" s="18"/>
      <c r="C139" s="18"/>
      <c r="D139" s="34"/>
      <c r="E139" s="27"/>
      <c r="F139" s="21"/>
      <c r="G139" s="21"/>
      <c r="H139" s="29"/>
      <c r="I139" s="21"/>
    </row>
    <row r="140" spans="1:9" ht="15.75" x14ac:dyDescent="0.25">
      <c r="A140" s="20"/>
      <c r="B140" s="18"/>
      <c r="C140" s="18"/>
      <c r="D140" s="34"/>
      <c r="E140" s="27"/>
      <c r="F140" s="21"/>
      <c r="G140" s="28"/>
      <c r="H140" s="29"/>
      <c r="I140" s="21"/>
    </row>
    <row r="141" spans="1:9" ht="15.75" x14ac:dyDescent="0.25">
      <c r="A141" s="20"/>
      <c r="B141" s="18"/>
      <c r="C141" s="18"/>
      <c r="D141" s="34"/>
      <c r="E141" s="27"/>
      <c r="F141" s="21"/>
      <c r="G141" s="28"/>
      <c r="H141" s="29"/>
      <c r="I141" s="21"/>
    </row>
    <row r="142" spans="1:9" ht="15.75" x14ac:dyDescent="0.25">
      <c r="A142" s="20"/>
      <c r="B142" s="48"/>
      <c r="C142" s="49"/>
      <c r="D142" s="34"/>
      <c r="E142" s="27"/>
      <c r="F142" s="21"/>
      <c r="G142" s="21"/>
      <c r="H142" s="29"/>
      <c r="I142" s="21"/>
    </row>
    <row r="143" spans="1:9" ht="15.75" x14ac:dyDescent="0.25">
      <c r="A143" s="20"/>
      <c r="B143" s="18"/>
      <c r="C143" s="49"/>
      <c r="D143" s="18"/>
      <c r="E143" s="27"/>
      <c r="F143" s="21"/>
      <c r="G143" s="28"/>
      <c r="H143" s="29"/>
      <c r="I143" s="21"/>
    </row>
    <row r="144" spans="1:9" ht="15.75" x14ac:dyDescent="0.25">
      <c r="A144" s="20"/>
      <c r="B144" s="18"/>
      <c r="C144" s="49"/>
      <c r="D144" s="18"/>
      <c r="E144" s="20"/>
      <c r="F144" s="21"/>
      <c r="G144" s="21"/>
      <c r="H144" s="25"/>
      <c r="I144" s="21"/>
    </row>
    <row r="145" spans="3:9" ht="15.75" x14ac:dyDescent="0.25">
      <c r="C145" s="3"/>
      <c r="E145" s="7"/>
      <c r="F145" s="8"/>
      <c r="G145" s="8"/>
      <c r="H145" s="9"/>
      <c r="I145" s="8"/>
    </row>
    <row r="146" spans="3:9" x14ac:dyDescent="0.25">
      <c r="C146" s="16"/>
    </row>
  </sheetData>
  <mergeCells count="1">
    <mergeCell ref="B1:D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DBC4-DE93-4A84-A7C1-A4BF5B21877D}">
  <dimension ref="A1:G10"/>
  <sheetViews>
    <sheetView workbookViewId="0">
      <selection activeCell="A10" sqref="A10"/>
    </sheetView>
  </sheetViews>
  <sheetFormatPr defaultRowHeight="15" x14ac:dyDescent="0.25"/>
  <cols>
    <col min="2" max="2" width="22.7109375" customWidth="1"/>
    <col min="3" max="3" width="6.85546875" customWidth="1"/>
    <col min="4" max="4" width="6.5703125" customWidth="1"/>
    <col min="5" max="5" width="7.140625" customWidth="1"/>
    <col min="6" max="6" width="7.28515625" customWidth="1"/>
    <col min="7" max="7" width="9.5703125" customWidth="1"/>
  </cols>
  <sheetData>
    <row r="1" spans="1:7" ht="18.75" x14ac:dyDescent="0.3">
      <c r="B1" s="56" t="s">
        <v>32</v>
      </c>
      <c r="C1" s="56"/>
      <c r="D1" s="56"/>
      <c r="E1" s="56"/>
      <c r="F1" s="50" t="s">
        <v>36</v>
      </c>
    </row>
    <row r="3" spans="1:7" x14ac:dyDescent="0.25">
      <c r="A3" t="s">
        <v>11</v>
      </c>
      <c r="B3" t="s">
        <v>12</v>
      </c>
      <c r="C3" t="s">
        <v>26</v>
      </c>
      <c r="D3" t="s">
        <v>33</v>
      </c>
      <c r="E3" t="s">
        <v>34</v>
      </c>
      <c r="F3" t="s">
        <v>35</v>
      </c>
      <c r="G3" t="s">
        <v>17</v>
      </c>
    </row>
    <row r="4" spans="1:7" x14ac:dyDescent="0.25">
      <c r="A4" s="53" t="s">
        <v>19</v>
      </c>
      <c r="B4" t="str">
        <f>"Hall, Dominic (503)"</f>
        <v>Hall, Dominic (503)</v>
      </c>
      <c r="C4" t="str">
        <f>"77 - 0"</f>
        <v>77 - 0</v>
      </c>
      <c r="D4" t="str">
        <f>"74 - 1"</f>
        <v>74 - 1</v>
      </c>
      <c r="E4" t="str">
        <f>"78 - 1"</f>
        <v>78 - 1</v>
      </c>
      <c r="F4" t="str">
        <f>"69 - 1"</f>
        <v>69 - 1</v>
      </c>
      <c r="G4" t="str">
        <f>"298 - 3"</f>
        <v>298 - 3</v>
      </c>
    </row>
    <row r="5" spans="1:7" x14ac:dyDescent="0.25">
      <c r="A5" s="53">
        <v>1</v>
      </c>
      <c r="B5" t="str">
        <f>"Daniels, Aaron (602)"</f>
        <v>Daniels, Aaron (602)</v>
      </c>
      <c r="C5" t="str">
        <f>"69 - 0"</f>
        <v>69 - 0</v>
      </c>
      <c r="D5" t="str">
        <f>"77 - 1"</f>
        <v>77 - 1</v>
      </c>
      <c r="E5" t="str">
        <f>"74 - 0"</f>
        <v>74 - 0</v>
      </c>
      <c r="F5" t="str">
        <f>"73 - 0"</f>
        <v>73 - 0</v>
      </c>
      <c r="G5" t="str">
        <f>"293 - 1"</f>
        <v>293 - 1</v>
      </c>
    </row>
    <row r="6" spans="1:7" x14ac:dyDescent="0.25">
      <c r="A6" s="53">
        <v>2</v>
      </c>
      <c r="B6" t="str">
        <f>"Aschebrook, Olivia (601)"</f>
        <v>Aschebrook, Olivia (601)</v>
      </c>
      <c r="C6" t="str">
        <f>"76 - 2"</f>
        <v>76 - 2</v>
      </c>
      <c r="D6" t="str">
        <f>"79 - 2"</f>
        <v>79 - 2</v>
      </c>
      <c r="E6" t="str">
        <f>"68 - 0"</f>
        <v>68 - 0</v>
      </c>
      <c r="F6" t="str">
        <f>"69 - 0"</f>
        <v>69 - 0</v>
      </c>
      <c r="G6" t="str">
        <f>"292 - 4"</f>
        <v>292 - 4</v>
      </c>
    </row>
    <row r="7" spans="1:7" x14ac:dyDescent="0.25">
      <c r="A7" s="53">
        <v>3</v>
      </c>
      <c r="B7" t="str">
        <f>"Daniels, Meggan (501)"</f>
        <v>Daniels, Meggan (501)</v>
      </c>
      <c r="C7" t="str">
        <f>"84 - 0"</f>
        <v>84 - 0</v>
      </c>
      <c r="D7" t="str">
        <f>"70 - 0"</f>
        <v>70 - 0</v>
      </c>
      <c r="E7" t="str">
        <f>"81 - 1"</f>
        <v>81 - 1</v>
      </c>
      <c r="F7" t="str">
        <f>"56 - 1"</f>
        <v>56 - 1</v>
      </c>
      <c r="G7" t="str">
        <f>"291 - 2"</f>
        <v>291 - 2</v>
      </c>
    </row>
    <row r="8" spans="1:7" x14ac:dyDescent="0.25">
      <c r="A8" s="53"/>
      <c r="B8" t="str">
        <f>"Lewis, Alexia (401)"</f>
        <v>Lewis, Alexia (401)</v>
      </c>
      <c r="C8" t="str">
        <f>"69 - 0"</f>
        <v>69 - 0</v>
      </c>
      <c r="D8" t="str">
        <f>"65 - 1"</f>
        <v>65 - 1</v>
      </c>
      <c r="E8" t="str">
        <f>"71 - 1"</f>
        <v>71 - 1</v>
      </c>
      <c r="F8" t="str">
        <f>"58 - 0"</f>
        <v>58 - 0</v>
      </c>
      <c r="G8" t="str">
        <f>"263 - 2"</f>
        <v>263 - 2</v>
      </c>
    </row>
    <row r="9" spans="1:7" x14ac:dyDescent="0.25">
      <c r="A9" s="53"/>
      <c r="B9" t="str">
        <f>"Sammon, Jacob (504)"</f>
        <v>Sammon, Jacob (504)</v>
      </c>
      <c r="C9" t="str">
        <f>"48 - 0"</f>
        <v>48 - 0</v>
      </c>
      <c r="D9" t="str">
        <f>"79 - 1"</f>
        <v>79 - 1</v>
      </c>
      <c r="E9" t="str">
        <f>"54 - 0"</f>
        <v>54 - 0</v>
      </c>
      <c r="F9" t="str">
        <f>"62 - 1"</f>
        <v>62 - 1</v>
      </c>
      <c r="G9" t="str">
        <f>"243 - 2"</f>
        <v>243 - 2</v>
      </c>
    </row>
    <row r="10" spans="1:7" x14ac:dyDescent="0.25">
      <c r="A10" s="53"/>
      <c r="B10" t="str">
        <f>"Hall, Christian (502)"</f>
        <v>Hall, Christian (502)</v>
      </c>
      <c r="C10" t="str">
        <f>"49 - 0"</f>
        <v>49 - 0</v>
      </c>
      <c r="D10" t="str">
        <f>"79 - 2"</f>
        <v>79 - 2</v>
      </c>
      <c r="E10" t="str">
        <f>"61 - 1"</f>
        <v>61 - 1</v>
      </c>
      <c r="F10" t="str">
        <f>"53 - 0"</f>
        <v>53 - 0</v>
      </c>
      <c r="G10" t="str">
        <f>"242 - 3"</f>
        <v>242 - 3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7C0A-F676-4CF2-BF5A-65D1399C53B9}">
  <dimension ref="A1:Q61"/>
  <sheetViews>
    <sheetView topLeftCell="A25" workbookViewId="0">
      <selection activeCell="A49" sqref="A49:F61"/>
    </sheetView>
  </sheetViews>
  <sheetFormatPr defaultRowHeight="15" x14ac:dyDescent="0.25"/>
  <cols>
    <col min="2" max="2" width="24.140625" customWidth="1"/>
    <col min="8" max="8" width="23" customWidth="1"/>
    <col min="9" max="9" width="6.42578125" customWidth="1"/>
    <col min="10" max="10" width="6" customWidth="1"/>
    <col min="12" max="12" width="1.7109375" customWidth="1"/>
    <col min="14" max="14" width="23" customWidth="1"/>
    <col min="15" max="15" width="6.42578125" customWidth="1"/>
    <col min="16" max="16" width="6.85546875" customWidth="1"/>
  </cols>
  <sheetData>
    <row r="1" spans="1:6" ht="18.75" x14ac:dyDescent="0.3">
      <c r="B1" s="56" t="s">
        <v>37</v>
      </c>
      <c r="C1" s="56"/>
      <c r="D1" s="56"/>
      <c r="E1" s="50" t="s">
        <v>38</v>
      </c>
    </row>
    <row r="3" spans="1:6" x14ac:dyDescent="0.25">
      <c r="A3" t="s">
        <v>11</v>
      </c>
      <c r="B3" t="s">
        <v>12</v>
      </c>
      <c r="C3" t="s">
        <v>13</v>
      </c>
      <c r="D3" t="s">
        <v>14</v>
      </c>
      <c r="E3" t="s">
        <v>16</v>
      </c>
      <c r="F3" t="s">
        <v>17</v>
      </c>
    </row>
    <row r="4" spans="1:6" x14ac:dyDescent="0.25">
      <c r="A4" s="53" t="s">
        <v>19</v>
      </c>
      <c r="B4" t="str">
        <f>"Muckler, Eli (107)"</f>
        <v>Muckler, Eli (107)</v>
      </c>
      <c r="C4" t="str">
        <f>"195 - 10"</f>
        <v>195 - 10</v>
      </c>
      <c r="D4" t="str">
        <f>"143 - 1"</f>
        <v>143 - 1</v>
      </c>
      <c r="E4" t="str">
        <f>"162 - 2"</f>
        <v>162 - 2</v>
      </c>
      <c r="F4" t="str">
        <f>"500 - 13"</f>
        <v>500 - 13</v>
      </c>
    </row>
    <row r="5" spans="1:6" x14ac:dyDescent="0.25">
      <c r="A5" s="53" t="s">
        <v>20</v>
      </c>
      <c r="B5" t="str">
        <f>"Hall, Christian (206)"</f>
        <v>Hall, Christian (206)</v>
      </c>
      <c r="C5" t="str">
        <f>"186 - 8"</f>
        <v>186 - 8</v>
      </c>
      <c r="D5" t="str">
        <f>"138 - 1"</f>
        <v>138 - 1</v>
      </c>
      <c r="E5" t="str">
        <f>"157 - 0"</f>
        <v>157 - 0</v>
      </c>
      <c r="F5" t="str">
        <f>"481 - 9"</f>
        <v>481 - 9</v>
      </c>
    </row>
    <row r="6" spans="1:6" x14ac:dyDescent="0.25">
      <c r="A6" s="53" t="s">
        <v>21</v>
      </c>
      <c r="B6" t="str">
        <f>"Elmhorst, Emily (202)"</f>
        <v>Elmhorst, Emily (202)</v>
      </c>
      <c r="C6" t="str">
        <f>"181 - 4"</f>
        <v>181 - 4</v>
      </c>
      <c r="D6" t="str">
        <f>"145 - 2"</f>
        <v>145 - 2</v>
      </c>
      <c r="E6" t="str">
        <f>"153 - 2"</f>
        <v>153 - 2</v>
      </c>
      <c r="F6" t="str">
        <f>"479 - 8"</f>
        <v>479 - 8</v>
      </c>
    </row>
    <row r="7" spans="1:6" x14ac:dyDescent="0.25">
      <c r="A7" s="53">
        <v>1</v>
      </c>
      <c r="B7" t="str">
        <f>"Daniels, Meggan (205)"</f>
        <v>Daniels, Meggan (205)</v>
      </c>
      <c r="C7" t="str">
        <f>"175 - 4"</f>
        <v>175 - 4</v>
      </c>
      <c r="D7" t="str">
        <f>"153 - 1"</f>
        <v>153 - 1</v>
      </c>
      <c r="E7" t="str">
        <f>"141 - 0"</f>
        <v>141 - 0</v>
      </c>
      <c r="F7" t="str">
        <f>"469 - 5"</f>
        <v>469 - 5</v>
      </c>
    </row>
    <row r="8" spans="1:6" x14ac:dyDescent="0.25">
      <c r="A8" s="53">
        <v>2</v>
      </c>
      <c r="B8" t="str">
        <f>"Hall, Dominic (207)"</f>
        <v>Hall, Dominic (207)</v>
      </c>
      <c r="C8" t="str">
        <f>"168 - 1"</f>
        <v>168 - 1</v>
      </c>
      <c r="D8" t="str">
        <f>"137 - 0"</f>
        <v>137 - 0</v>
      </c>
      <c r="E8" t="str">
        <f>"163 - 0"</f>
        <v>163 - 0</v>
      </c>
      <c r="F8" t="str">
        <f>"468 - 1"</f>
        <v>468 - 1</v>
      </c>
    </row>
    <row r="9" spans="1:6" x14ac:dyDescent="0.25">
      <c r="A9" s="53">
        <v>3</v>
      </c>
      <c r="B9" t="str">
        <f>"Aschebrook, Olivia (301)"</f>
        <v>Aschebrook, Olivia (301)</v>
      </c>
      <c r="C9" t="str">
        <f>"179 - 2"</f>
        <v>179 - 2</v>
      </c>
      <c r="D9" t="str">
        <f>"132 - 2"</f>
        <v>132 - 2</v>
      </c>
      <c r="E9" t="str">
        <f>"155 - 1"</f>
        <v>155 - 1</v>
      </c>
      <c r="F9" t="str">
        <f>"466 - 5"</f>
        <v>466 - 5</v>
      </c>
    </row>
    <row r="10" spans="1:6" x14ac:dyDescent="0.25">
      <c r="A10" s="53">
        <v>4</v>
      </c>
      <c r="B10" t="str">
        <f>"Hager, Rachel (203)"</f>
        <v>Hager, Rachel (203)</v>
      </c>
      <c r="C10" t="str">
        <f>"180 - 5"</f>
        <v>180 - 5</v>
      </c>
      <c r="D10" t="str">
        <f>"131 - 0"</f>
        <v>131 - 0</v>
      </c>
      <c r="E10" t="str">
        <f>"155 - 2"</f>
        <v>155 - 2</v>
      </c>
      <c r="F10" t="str">
        <f>"466 - 7"</f>
        <v>466 - 7</v>
      </c>
    </row>
    <row r="11" spans="1:6" x14ac:dyDescent="0.25">
      <c r="A11" s="53">
        <v>5</v>
      </c>
      <c r="B11" t="str">
        <f>"Lewis, Alexia (102)"</f>
        <v>Lewis, Alexia (102)</v>
      </c>
      <c r="C11" t="str">
        <f>"165 - 0"</f>
        <v>165 - 0</v>
      </c>
      <c r="D11" t="str">
        <f>"115 - 0"</f>
        <v>115 - 0</v>
      </c>
      <c r="E11" t="str">
        <f>"152 - 1"</f>
        <v>152 - 1</v>
      </c>
      <c r="F11" t="str">
        <f>"432 - 1"</f>
        <v>432 - 1</v>
      </c>
    </row>
    <row r="12" spans="1:6" x14ac:dyDescent="0.25">
      <c r="A12" s="53">
        <v>6</v>
      </c>
      <c r="B12" t="str">
        <f>"Prince, Kianna (208)"</f>
        <v>Prince, Kianna (208)</v>
      </c>
      <c r="C12" t="str">
        <f>"169 - 1"</f>
        <v>169 - 1</v>
      </c>
      <c r="D12" t="str">
        <f>"101 - 0"</f>
        <v>101 - 0</v>
      </c>
      <c r="E12" t="str">
        <f>"141 - 1"</f>
        <v>141 - 1</v>
      </c>
      <c r="F12" t="str">
        <f>"411 - 2"</f>
        <v>411 - 2</v>
      </c>
    </row>
    <row r="13" spans="1:6" x14ac:dyDescent="0.25">
      <c r="A13" s="53"/>
      <c r="B13" t="str">
        <f>"Lee, James (204)"</f>
        <v>Lee, James (204)</v>
      </c>
      <c r="C13" t="str">
        <f>"168 - 5"</f>
        <v>168 - 5</v>
      </c>
      <c r="D13" t="str">
        <f>"87 - 0"</f>
        <v>87 - 0</v>
      </c>
      <c r="E13" t="str">
        <f>"147 - 0"</f>
        <v>147 - 0</v>
      </c>
      <c r="F13" t="str">
        <f>"402 - 5"</f>
        <v>402 - 5</v>
      </c>
    </row>
    <row r="14" spans="1:6" x14ac:dyDescent="0.25">
      <c r="A14" s="53"/>
      <c r="B14" t="str">
        <f>"Elmhorst, Chris (103)"</f>
        <v>Elmhorst, Chris (103)</v>
      </c>
      <c r="C14" t="str">
        <f>"161 - 3"</f>
        <v>161 - 3</v>
      </c>
      <c r="D14" t="str">
        <f>"91 - 1"</f>
        <v>91 - 1</v>
      </c>
      <c r="E14" t="str">
        <f>"132 - 0"</f>
        <v>132 - 0</v>
      </c>
      <c r="F14" t="str">
        <f>"384 - 4"</f>
        <v>384 - 4</v>
      </c>
    </row>
    <row r="15" spans="1:6" x14ac:dyDescent="0.25">
      <c r="A15" s="53"/>
      <c r="B15" t="str">
        <f>"Sammon, Jacob (209)"</f>
        <v>Sammon, Jacob (209)</v>
      </c>
      <c r="C15" t="str">
        <f>"166 - 3"</f>
        <v>166 - 3</v>
      </c>
      <c r="D15" t="str">
        <f>"117 - 0"</f>
        <v>117 - 0</v>
      </c>
      <c r="E15" t="str">
        <f>"101 - 0"</f>
        <v>101 - 0</v>
      </c>
      <c r="F15" t="str">
        <f>"384 - 3"</f>
        <v>384 - 3</v>
      </c>
    </row>
    <row r="16" spans="1:6" x14ac:dyDescent="0.25">
      <c r="A16" s="53"/>
      <c r="B16" t="str">
        <f>"Henderson, Joseph (105)"</f>
        <v>Henderson, Joseph (105)</v>
      </c>
      <c r="C16" t="str">
        <f>"144 - 1"</f>
        <v>144 - 1</v>
      </c>
      <c r="D16" t="str">
        <f>"112 - 0"</f>
        <v>112 - 0</v>
      </c>
      <c r="E16" t="str">
        <f>"122 - 0"</f>
        <v>122 - 0</v>
      </c>
      <c r="F16" t="str">
        <f>"378 - 1"</f>
        <v>378 - 1</v>
      </c>
    </row>
    <row r="17" spans="1:17" x14ac:dyDescent="0.25">
      <c r="A17" s="53"/>
      <c r="B17" t="str">
        <f>"Winkels, Ethan (201)"</f>
        <v>Winkels, Ethan (201)</v>
      </c>
      <c r="C17" t="str">
        <f>"161 - 4"</f>
        <v>161 - 4</v>
      </c>
      <c r="D17" t="str">
        <f>"83 - 1"</f>
        <v>83 - 1</v>
      </c>
      <c r="E17" t="str">
        <f>"132 - 0"</f>
        <v>132 - 0</v>
      </c>
      <c r="F17" t="str">
        <f>"376 - 5"</f>
        <v>376 - 5</v>
      </c>
    </row>
    <row r="18" spans="1:17" x14ac:dyDescent="0.25">
      <c r="A18" s="53"/>
      <c r="B18" t="str">
        <f>"Hager, Michael (104)"</f>
        <v>Hager, Michael (104)</v>
      </c>
      <c r="C18" t="str">
        <f>"154 - 2"</f>
        <v>154 - 2</v>
      </c>
      <c r="D18" t="str">
        <f>"60 - 0"</f>
        <v>60 - 0</v>
      </c>
      <c r="E18" t="str">
        <f>"114 - 1"</f>
        <v>114 - 1</v>
      </c>
      <c r="F18" t="str">
        <f>"328 - 3"</f>
        <v>328 - 3</v>
      </c>
    </row>
    <row r="19" spans="1:17" x14ac:dyDescent="0.25">
      <c r="A19" s="53"/>
      <c r="B19" t="str">
        <f>"Seichter, Dylan (106)"</f>
        <v>Seichter, Dylan (106)</v>
      </c>
      <c r="C19" t="str">
        <f>"118 - 0"</f>
        <v>118 - 0</v>
      </c>
      <c r="D19" t="str">
        <f>"45 - 0"</f>
        <v>45 - 0</v>
      </c>
      <c r="E19" t="str">
        <f>"81 - 0"</f>
        <v>81 - 0</v>
      </c>
      <c r="F19" t="str">
        <f>"244 - 0"</f>
        <v>244 - 0</v>
      </c>
    </row>
    <row r="20" spans="1:17" x14ac:dyDescent="0.25">
      <c r="A20" s="53"/>
      <c r="B20" t="str">
        <f>"Krueger, Joel (101)"</f>
        <v>Krueger, Joel (101)</v>
      </c>
      <c r="C20" t="str">
        <f>"78 - 0"</f>
        <v>78 - 0</v>
      </c>
      <c r="D20" t="str">
        <f>"37 - 0"</f>
        <v>37 - 0</v>
      </c>
      <c r="E20" t="str">
        <f>"43 - 0"</f>
        <v>43 - 0</v>
      </c>
      <c r="F20" t="str">
        <f>"158 - 0"</f>
        <v>158 - 0</v>
      </c>
    </row>
    <row r="21" spans="1:17" x14ac:dyDescent="0.25">
      <c r="A21" s="53"/>
    </row>
    <row r="22" spans="1:17" x14ac:dyDescent="0.25">
      <c r="A22" s="50" t="s">
        <v>40</v>
      </c>
      <c r="C22" s="50"/>
    </row>
    <row r="23" spans="1:17" x14ac:dyDescent="0.25">
      <c r="A23" t="s">
        <v>11</v>
      </c>
      <c r="B23" t="s">
        <v>12</v>
      </c>
      <c r="C23" t="s">
        <v>23</v>
      </c>
      <c r="D23" t="s">
        <v>39</v>
      </c>
      <c r="E23" t="s">
        <v>13</v>
      </c>
      <c r="G23" t="s">
        <v>11</v>
      </c>
      <c r="H23" t="s">
        <v>12</v>
      </c>
      <c r="I23" t="s">
        <v>26</v>
      </c>
      <c r="J23" t="s">
        <v>33</v>
      </c>
      <c r="K23" t="s">
        <v>14</v>
      </c>
      <c r="M23" t="s">
        <v>11</v>
      </c>
      <c r="N23" t="s">
        <v>12</v>
      </c>
      <c r="O23" t="s">
        <v>28</v>
      </c>
      <c r="P23" t="s">
        <v>43</v>
      </c>
      <c r="Q23" t="s">
        <v>16</v>
      </c>
    </row>
    <row r="24" spans="1:17" x14ac:dyDescent="0.25">
      <c r="A24" s="53" t="str">
        <f>"1"</f>
        <v>1</v>
      </c>
      <c r="B24" t="str">
        <f>"Aschebrook, Olivia (301)"</f>
        <v>Aschebrook, Olivia (301)</v>
      </c>
      <c r="C24" t="str">
        <f>"92 - 1"</f>
        <v>92 - 1</v>
      </c>
      <c r="D24" t="str">
        <f>"87 - 1"</f>
        <v>87 - 1</v>
      </c>
      <c r="E24" t="str">
        <f>"179 - 2"</f>
        <v>179 - 2</v>
      </c>
      <c r="G24" s="54" t="str">
        <f>"1"</f>
        <v>1</v>
      </c>
      <c r="H24" t="str">
        <f>"Aschebrook, Olivia (301)"</f>
        <v>Aschebrook, Olivia (301)</v>
      </c>
      <c r="I24" t="str">
        <f>"51 - 1"</f>
        <v>51 - 1</v>
      </c>
      <c r="J24" t="str">
        <f>"81 - 1"</f>
        <v>81 - 1</v>
      </c>
      <c r="K24" t="str">
        <f>"132 - 2"</f>
        <v>132 - 2</v>
      </c>
      <c r="M24" s="55" t="str">
        <f>"1"</f>
        <v>1</v>
      </c>
      <c r="N24" t="str">
        <f>"Aschebrook, Olivia (301)"</f>
        <v>Aschebrook, Olivia (301)</v>
      </c>
      <c r="O24" t="str">
        <f>"80 - 0"</f>
        <v>80 - 0</v>
      </c>
      <c r="P24" t="str">
        <f>"75 - 1"</f>
        <v>75 - 1</v>
      </c>
      <c r="Q24" t="str">
        <f>"155 - 1"</f>
        <v>155 - 1</v>
      </c>
    </row>
    <row r="26" spans="1:17" x14ac:dyDescent="0.25">
      <c r="A26" s="50" t="s">
        <v>41</v>
      </c>
      <c r="C26" s="50"/>
    </row>
    <row r="27" spans="1:17" x14ac:dyDescent="0.25">
      <c r="A27" t="s">
        <v>11</v>
      </c>
      <c r="B27" t="s">
        <v>12</v>
      </c>
      <c r="C27" t="s">
        <v>23</v>
      </c>
      <c r="D27" t="s">
        <v>39</v>
      </c>
      <c r="E27" t="s">
        <v>13</v>
      </c>
      <c r="G27" t="s">
        <v>11</v>
      </c>
      <c r="H27" t="s">
        <v>12</v>
      </c>
      <c r="I27" t="s">
        <v>26</v>
      </c>
      <c r="J27" t="s">
        <v>33</v>
      </c>
      <c r="K27" t="s">
        <v>14</v>
      </c>
      <c r="M27" t="s">
        <v>11</v>
      </c>
      <c r="N27" t="s">
        <v>12</v>
      </c>
      <c r="O27" t="s">
        <v>28</v>
      </c>
      <c r="P27" t="s">
        <v>43</v>
      </c>
      <c r="Q27" t="s">
        <v>16</v>
      </c>
    </row>
    <row r="28" spans="1:17" x14ac:dyDescent="0.25">
      <c r="A28" s="53" t="str">
        <f>"1"</f>
        <v>1</v>
      </c>
      <c r="B28" t="str">
        <f>"Hall, Christian (206)"</f>
        <v>Hall, Christian (206)</v>
      </c>
      <c r="C28" t="str">
        <f>"97 - 6"</f>
        <v>97 - 6</v>
      </c>
      <c r="D28" t="str">
        <f>"89 - 2"</f>
        <v>89 - 2</v>
      </c>
      <c r="E28" t="str">
        <f>"186 - 8"</f>
        <v>186 - 8</v>
      </c>
      <c r="G28" s="53" t="str">
        <f>"1"</f>
        <v>1</v>
      </c>
      <c r="H28" t="str">
        <f>"Daniels, Meggan (205)"</f>
        <v>Daniels, Meggan (205)</v>
      </c>
      <c r="I28" t="str">
        <f>"75 - 0"</f>
        <v>75 - 0</v>
      </c>
      <c r="J28" t="str">
        <f>"78 - 1"</f>
        <v>78 - 1</v>
      </c>
      <c r="K28" t="str">
        <f>"153 - 1"</f>
        <v>153 - 1</v>
      </c>
      <c r="M28" s="53" t="str">
        <f>"1"</f>
        <v>1</v>
      </c>
      <c r="N28" t="str">
        <f>"Hall, Dominic (207)"</f>
        <v>Hall, Dominic (207)</v>
      </c>
      <c r="O28" t="str">
        <f>"80 - 0"</f>
        <v>80 - 0</v>
      </c>
      <c r="P28" t="str">
        <f>"83 - 0"</f>
        <v>83 - 0</v>
      </c>
      <c r="Q28" t="str">
        <f>"163 - 0"</f>
        <v>163 - 0</v>
      </c>
    </row>
    <row r="29" spans="1:17" x14ac:dyDescent="0.25">
      <c r="A29" s="53" t="str">
        <f>"2"</f>
        <v>2</v>
      </c>
      <c r="B29" t="str">
        <f>"Elmhorst, Emily (202)"</f>
        <v>Elmhorst, Emily (202)</v>
      </c>
      <c r="C29" t="str">
        <f>"90 - 2"</f>
        <v>90 - 2</v>
      </c>
      <c r="D29" t="str">
        <f>"91 - 2"</f>
        <v>91 - 2</v>
      </c>
      <c r="E29" t="str">
        <f>"181 - 4"</f>
        <v>181 - 4</v>
      </c>
      <c r="G29" s="53" t="str">
        <f>"2"</f>
        <v>2</v>
      </c>
      <c r="H29" t="str">
        <f>"Elmhorst, Emily (202)"</f>
        <v>Elmhorst, Emily (202)</v>
      </c>
      <c r="I29" t="str">
        <f>"74 - 2"</f>
        <v>74 - 2</v>
      </c>
      <c r="J29" t="str">
        <f>"71 - 0"</f>
        <v>71 - 0</v>
      </c>
      <c r="K29" t="str">
        <f>"145 - 2"</f>
        <v>145 - 2</v>
      </c>
      <c r="M29" s="53" t="str">
        <f>"2"</f>
        <v>2</v>
      </c>
      <c r="N29" t="str">
        <f>"Hall, Christian (206)"</f>
        <v>Hall, Christian (206)</v>
      </c>
      <c r="O29" t="str">
        <f>"81 - 0"</f>
        <v>81 - 0</v>
      </c>
      <c r="P29" t="str">
        <f>"76 - 0"</f>
        <v>76 - 0</v>
      </c>
      <c r="Q29" t="str">
        <f>"157 - 0"</f>
        <v>157 - 0</v>
      </c>
    </row>
    <row r="30" spans="1:17" x14ac:dyDescent="0.25">
      <c r="A30" s="53" t="str">
        <f>"3"</f>
        <v>3</v>
      </c>
      <c r="B30" t="str">
        <f>"Hager, Rachel (203)"</f>
        <v>Hager, Rachel (203)</v>
      </c>
      <c r="C30" t="str">
        <f>"89 - 3"</f>
        <v>89 - 3</v>
      </c>
      <c r="D30" t="str">
        <f>"91 - 2"</f>
        <v>91 - 2</v>
      </c>
      <c r="E30" t="str">
        <f>"180 - 5"</f>
        <v>180 - 5</v>
      </c>
      <c r="G30" s="53" t="str">
        <f>"3"</f>
        <v>3</v>
      </c>
      <c r="H30" t="str">
        <f>"Hall, Christian (206)"</f>
        <v>Hall, Christian (206)</v>
      </c>
      <c r="I30" t="str">
        <f>"71 - 1"</f>
        <v>71 - 1</v>
      </c>
      <c r="J30" t="str">
        <f>"67 - 0"</f>
        <v>67 - 0</v>
      </c>
      <c r="K30" t="str">
        <f>"138 - 1"</f>
        <v>138 - 1</v>
      </c>
      <c r="M30" s="53" t="str">
        <f>"3"</f>
        <v>3</v>
      </c>
      <c r="N30" t="str">
        <f>"Hager, Rachel (203)"</f>
        <v>Hager, Rachel (203)</v>
      </c>
      <c r="O30" t="str">
        <f>"80 - 1"</f>
        <v>80 - 1</v>
      </c>
      <c r="P30" t="str">
        <f>"75 - 1"</f>
        <v>75 - 1</v>
      </c>
      <c r="Q30" t="str">
        <f>"155 - 2"</f>
        <v>155 - 2</v>
      </c>
    </row>
    <row r="31" spans="1:17" x14ac:dyDescent="0.25">
      <c r="A31" s="53" t="str">
        <f>"4"</f>
        <v>4</v>
      </c>
      <c r="B31" t="str">
        <f>"Daniels, Meggan (205)"</f>
        <v>Daniels, Meggan (205)</v>
      </c>
      <c r="C31" t="str">
        <f>"87 - 1"</f>
        <v>87 - 1</v>
      </c>
      <c r="D31" t="str">
        <f>"88 - 3"</f>
        <v>88 - 3</v>
      </c>
      <c r="E31" t="str">
        <f>"175 - 4"</f>
        <v>175 - 4</v>
      </c>
      <c r="G31" s="53" t="str">
        <f>"4"</f>
        <v>4</v>
      </c>
      <c r="H31" t="str">
        <f>"Hall, Dominic (207)"</f>
        <v>Hall, Dominic (207)</v>
      </c>
      <c r="I31" t="str">
        <f>"64 - 0"</f>
        <v>64 - 0</v>
      </c>
      <c r="J31" t="str">
        <f>"73 - 0"</f>
        <v>73 - 0</v>
      </c>
      <c r="K31" t="str">
        <f>"137 - 0"</f>
        <v>137 - 0</v>
      </c>
      <c r="M31" s="53" t="str">
        <f>"4"</f>
        <v>4</v>
      </c>
      <c r="N31" t="str">
        <f>"Elmhorst, Emily (202)"</f>
        <v>Elmhorst, Emily (202)</v>
      </c>
      <c r="O31" t="str">
        <f>"79 - 0"</f>
        <v>79 - 0</v>
      </c>
      <c r="P31" t="str">
        <f>"74 - 2"</f>
        <v>74 - 2</v>
      </c>
      <c r="Q31" t="str">
        <f>"153 - 2"</f>
        <v>153 - 2</v>
      </c>
    </row>
    <row r="32" spans="1:17" x14ac:dyDescent="0.25">
      <c r="A32" s="53" t="str">
        <f>"5"</f>
        <v>5</v>
      </c>
      <c r="B32" t="str">
        <f>"Prince, Kianna (208)"</f>
        <v>Prince, Kianna (208)</v>
      </c>
      <c r="C32" t="str">
        <f>"82 - 1"</f>
        <v>82 - 1</v>
      </c>
      <c r="D32" t="str">
        <f>"87 - 0"</f>
        <v>87 - 0</v>
      </c>
      <c r="E32" t="str">
        <f>"169 - 1"</f>
        <v>169 - 1</v>
      </c>
      <c r="G32" s="53" t="str">
        <f>"5"</f>
        <v>5</v>
      </c>
      <c r="H32" t="str">
        <f>"Hager, Rachel (203)"</f>
        <v>Hager, Rachel (203)</v>
      </c>
      <c r="I32" t="str">
        <f>"66 - 0"</f>
        <v>66 - 0</v>
      </c>
      <c r="J32" t="str">
        <f>"65 - 0"</f>
        <v>65 - 0</v>
      </c>
      <c r="K32" t="str">
        <f>"131 - 0"</f>
        <v>131 - 0</v>
      </c>
      <c r="M32" s="53" t="str">
        <f>"5"</f>
        <v>5</v>
      </c>
      <c r="N32" t="str">
        <f>"Lee, James (204)"</f>
        <v>Lee, James (204)</v>
      </c>
      <c r="O32" t="str">
        <f>"68 - 0"</f>
        <v>68 - 0</v>
      </c>
      <c r="P32" t="str">
        <f>"79 - 0"</f>
        <v>79 - 0</v>
      </c>
      <c r="Q32" t="str">
        <f>"147 - 0"</f>
        <v>147 - 0</v>
      </c>
    </row>
    <row r="33" spans="1:17" x14ac:dyDescent="0.25">
      <c r="A33" s="53" t="str">
        <f>"6"</f>
        <v>6</v>
      </c>
      <c r="B33" t="str">
        <f>"Hall, Dominic (207)"</f>
        <v>Hall, Dominic (207)</v>
      </c>
      <c r="C33" t="str">
        <f>"86 - 1"</f>
        <v>86 - 1</v>
      </c>
      <c r="D33" t="str">
        <f>"82 - 0"</f>
        <v>82 - 0</v>
      </c>
      <c r="E33" t="str">
        <f>"168 - 1"</f>
        <v>168 - 1</v>
      </c>
      <c r="G33" s="53" t="str">
        <f>"6"</f>
        <v>6</v>
      </c>
      <c r="H33" t="str">
        <f>"Sammon, Jacob (209)"</f>
        <v>Sammon, Jacob (209)</v>
      </c>
      <c r="I33" t="str">
        <f>"58 - 0"</f>
        <v>58 - 0</v>
      </c>
      <c r="J33" t="str">
        <f>"59 - 0"</f>
        <v>59 - 0</v>
      </c>
      <c r="K33" t="str">
        <f>"117 - 0"</f>
        <v>117 - 0</v>
      </c>
      <c r="M33" s="53" t="str">
        <f>"6"</f>
        <v>6</v>
      </c>
      <c r="N33" t="str">
        <f>"Prince, Kianna (208)"</f>
        <v>Prince, Kianna (208)</v>
      </c>
      <c r="O33" t="str">
        <f>"69 - 1"</f>
        <v>69 - 1</v>
      </c>
      <c r="P33" t="str">
        <f>"72 - 0"</f>
        <v>72 - 0</v>
      </c>
      <c r="Q33" t="str">
        <f>"141 - 1"</f>
        <v>141 - 1</v>
      </c>
    </row>
    <row r="34" spans="1:17" x14ac:dyDescent="0.25">
      <c r="A34" s="53"/>
      <c r="B34" t="str">
        <f>"Lee, James (204)"</f>
        <v>Lee, James (204)</v>
      </c>
      <c r="C34" t="str">
        <f>"90 - 4"</f>
        <v>90 - 4</v>
      </c>
      <c r="D34" t="str">
        <f>"78 - 1"</f>
        <v>78 - 1</v>
      </c>
      <c r="E34" t="str">
        <f>"168 - 5"</f>
        <v>168 - 5</v>
      </c>
      <c r="G34" s="53"/>
      <c r="H34" t="str">
        <f>"Prince, Kianna (208)"</f>
        <v>Prince, Kianna (208)</v>
      </c>
      <c r="I34" t="str">
        <f>"48 - 0"</f>
        <v>48 - 0</v>
      </c>
      <c r="J34" t="str">
        <f>"53 - 0"</f>
        <v>53 - 0</v>
      </c>
      <c r="K34" t="str">
        <f>"101 - 0"</f>
        <v>101 - 0</v>
      </c>
      <c r="M34" s="53"/>
      <c r="N34" t="str">
        <f>"Daniels, Meggan (205)"</f>
        <v>Daniels, Meggan (205)</v>
      </c>
      <c r="O34" t="str">
        <f>"73 - 0"</f>
        <v>73 - 0</v>
      </c>
      <c r="P34" t="str">
        <f>"68 - 0"</f>
        <v>68 - 0</v>
      </c>
      <c r="Q34" t="str">
        <f>"141 - 0"</f>
        <v>141 - 0</v>
      </c>
    </row>
    <row r="35" spans="1:17" x14ac:dyDescent="0.25">
      <c r="A35" s="53"/>
      <c r="B35" t="str">
        <f>"Sammon, Jacob (209)"</f>
        <v>Sammon, Jacob (209)</v>
      </c>
      <c r="C35" t="str">
        <f>"77 - 0"</f>
        <v>77 - 0</v>
      </c>
      <c r="D35" t="str">
        <f>"89 - 3"</f>
        <v>89 - 3</v>
      </c>
      <c r="E35" t="str">
        <f>"166 - 3"</f>
        <v>166 - 3</v>
      </c>
      <c r="G35" s="53"/>
      <c r="H35" t="str">
        <f>"Lee, James (204)"</f>
        <v>Lee, James (204)</v>
      </c>
      <c r="I35" t="str">
        <f>"44 - 0"</f>
        <v>44 - 0</v>
      </c>
      <c r="J35" t="str">
        <f>"43 - 0"</f>
        <v>43 - 0</v>
      </c>
      <c r="K35" t="str">
        <f>"87 - 0"</f>
        <v>87 - 0</v>
      </c>
      <c r="M35" s="53"/>
      <c r="N35" t="str">
        <f>"Winkels, Ethan (201)"</f>
        <v>Winkels, Ethan (201)</v>
      </c>
      <c r="O35" t="str">
        <f>"66 - 0"</f>
        <v>66 - 0</v>
      </c>
      <c r="P35" t="str">
        <f>"66 - 0"</f>
        <v>66 - 0</v>
      </c>
      <c r="Q35" t="str">
        <f>"132 - 0"</f>
        <v>132 - 0</v>
      </c>
    </row>
    <row r="36" spans="1:17" x14ac:dyDescent="0.25">
      <c r="A36" s="53"/>
      <c r="B36" t="str">
        <f>"Winkels, Ethan (201)"</f>
        <v>Winkels, Ethan (201)</v>
      </c>
      <c r="C36" t="str">
        <f>"76 - 1"</f>
        <v>76 - 1</v>
      </c>
      <c r="D36" t="str">
        <f>"85 - 3"</f>
        <v>85 - 3</v>
      </c>
      <c r="E36" t="str">
        <f>"161 - 4"</f>
        <v>161 - 4</v>
      </c>
      <c r="G36" s="53"/>
      <c r="H36" t="str">
        <f>"Winkels, Ethan (201)"</f>
        <v>Winkels, Ethan (201)</v>
      </c>
      <c r="I36" t="str">
        <f>"39 - 0"</f>
        <v>39 - 0</v>
      </c>
      <c r="J36" t="str">
        <f>"44 - 1"</f>
        <v>44 - 1</v>
      </c>
      <c r="K36" t="str">
        <f>"83 - 1"</f>
        <v>83 - 1</v>
      </c>
      <c r="M36" s="53"/>
      <c r="N36" t="str">
        <f>"Sammon, Jacob (209)"</f>
        <v>Sammon, Jacob (209)</v>
      </c>
      <c r="O36" t="str">
        <f>"54 - 0"</f>
        <v>54 - 0</v>
      </c>
      <c r="P36" t="str">
        <f>"47 - 0"</f>
        <v>47 - 0</v>
      </c>
      <c r="Q36" t="str">
        <f>"101 - 0"</f>
        <v>101 - 0</v>
      </c>
    </row>
    <row r="38" spans="1:17" x14ac:dyDescent="0.25">
      <c r="A38" s="50" t="s">
        <v>42</v>
      </c>
      <c r="C38" s="50"/>
    </row>
    <row r="39" spans="1:17" x14ac:dyDescent="0.25">
      <c r="A39" t="s">
        <v>11</v>
      </c>
      <c r="B39" t="s">
        <v>12</v>
      </c>
      <c r="C39" t="s">
        <v>23</v>
      </c>
      <c r="D39" t="s">
        <v>39</v>
      </c>
      <c r="E39" t="s">
        <v>13</v>
      </c>
      <c r="G39" t="s">
        <v>11</v>
      </c>
      <c r="H39" t="s">
        <v>12</v>
      </c>
      <c r="I39" t="s">
        <v>26</v>
      </c>
      <c r="J39" t="s">
        <v>33</v>
      </c>
      <c r="K39" t="s">
        <v>14</v>
      </c>
      <c r="M39" t="s">
        <v>11</v>
      </c>
      <c r="N39" t="s">
        <v>12</v>
      </c>
      <c r="O39" t="s">
        <v>28</v>
      </c>
      <c r="P39" t="s">
        <v>43</v>
      </c>
      <c r="Q39" t="s">
        <v>16</v>
      </c>
    </row>
    <row r="40" spans="1:17" x14ac:dyDescent="0.25">
      <c r="A40" s="53" t="str">
        <f>"1"</f>
        <v>1</v>
      </c>
      <c r="B40" t="str">
        <f>"Muckler, Eli (107)"</f>
        <v>Muckler, Eli (107)</v>
      </c>
      <c r="C40" t="str">
        <f>"97 - 4"</f>
        <v>97 - 4</v>
      </c>
      <c r="D40" t="str">
        <f>"98 - 6"</f>
        <v>98 - 6</v>
      </c>
      <c r="E40" t="str">
        <f>"195 - 10"</f>
        <v>195 - 10</v>
      </c>
      <c r="G40" s="53" t="str">
        <f>"1"</f>
        <v>1</v>
      </c>
      <c r="H40" t="str">
        <f>"Muckler, Eli (107)"</f>
        <v>Muckler, Eli (107)</v>
      </c>
      <c r="I40" t="str">
        <f>"70 - 0"</f>
        <v>70 - 0</v>
      </c>
      <c r="J40" t="str">
        <f>"73 - 1"</f>
        <v>73 - 1</v>
      </c>
      <c r="K40" t="str">
        <f>"143 - 1"</f>
        <v>143 - 1</v>
      </c>
      <c r="M40" s="53" t="str">
        <f>"1"</f>
        <v>1</v>
      </c>
      <c r="N40" t="str">
        <f>"Muckler, Eli (107)"</f>
        <v>Muckler, Eli (107)</v>
      </c>
      <c r="O40" t="str">
        <f>"80 - 1"</f>
        <v>80 - 1</v>
      </c>
      <c r="P40" t="str">
        <f>"82 - 1"</f>
        <v>82 - 1</v>
      </c>
      <c r="Q40" t="str">
        <f>"162 - 2"</f>
        <v>162 - 2</v>
      </c>
    </row>
    <row r="41" spans="1:17" x14ac:dyDescent="0.25">
      <c r="A41" s="53" t="str">
        <f>"2"</f>
        <v>2</v>
      </c>
      <c r="B41" t="str">
        <f>"Lewis, Alexia (102)"</f>
        <v>Lewis, Alexia (102)</v>
      </c>
      <c r="C41" t="str">
        <f>"85 - 0"</f>
        <v>85 - 0</v>
      </c>
      <c r="D41" t="str">
        <f>"80 - 0"</f>
        <v>80 - 0</v>
      </c>
      <c r="E41" t="str">
        <f>"165 - 0"</f>
        <v>165 - 0</v>
      </c>
      <c r="G41" s="53" t="str">
        <f>"2"</f>
        <v>2</v>
      </c>
      <c r="H41" t="str">
        <f>"Lewis, Alexia (102)"</f>
        <v>Lewis, Alexia (102)</v>
      </c>
      <c r="I41" t="str">
        <f>"48 - 0"</f>
        <v>48 - 0</v>
      </c>
      <c r="J41" t="str">
        <f>"67 - 0"</f>
        <v>67 - 0</v>
      </c>
      <c r="K41" t="str">
        <f>"115 - 0"</f>
        <v>115 - 0</v>
      </c>
      <c r="M41" s="53" t="str">
        <f>"2"</f>
        <v>2</v>
      </c>
      <c r="N41" t="str">
        <f>"Lewis, Alexia (102)"</f>
        <v>Lewis, Alexia (102)</v>
      </c>
      <c r="O41" t="str">
        <f>"69 - 0"</f>
        <v>69 - 0</v>
      </c>
      <c r="P41" t="str">
        <f>"83 - 1"</f>
        <v>83 - 1</v>
      </c>
      <c r="Q41" t="str">
        <f>"152 - 1"</f>
        <v>152 - 1</v>
      </c>
    </row>
    <row r="42" spans="1:17" x14ac:dyDescent="0.25">
      <c r="A42" s="53" t="str">
        <f>"3"</f>
        <v>3</v>
      </c>
      <c r="B42" t="str">
        <f>"Elmhorst, Chris (103)"</f>
        <v>Elmhorst, Chris (103)</v>
      </c>
      <c r="C42" t="str">
        <f>"81 - 1"</f>
        <v>81 - 1</v>
      </c>
      <c r="D42" t="str">
        <f>"80 - 2"</f>
        <v>80 - 2</v>
      </c>
      <c r="E42" t="str">
        <f>"161 - 3"</f>
        <v>161 - 3</v>
      </c>
      <c r="G42" s="53" t="str">
        <f>"3"</f>
        <v>3</v>
      </c>
      <c r="H42" t="str">
        <f>"Henderson, Joseph (105)"</f>
        <v>Henderson, Joseph (105)</v>
      </c>
      <c r="I42" t="str">
        <f>"72 - 0"</f>
        <v>72 - 0</v>
      </c>
      <c r="J42" t="str">
        <f>"40 - 0"</f>
        <v>40 - 0</v>
      </c>
      <c r="K42" t="str">
        <f>"112 - 0"</f>
        <v>112 - 0</v>
      </c>
      <c r="M42" s="53" t="str">
        <f>"3"</f>
        <v>3</v>
      </c>
      <c r="N42" t="str">
        <f>"Elmhorst, Chris (103)"</f>
        <v>Elmhorst, Chris (103)</v>
      </c>
      <c r="O42" t="str">
        <f>"66 - 0"</f>
        <v>66 - 0</v>
      </c>
      <c r="P42" t="str">
        <f>"66 - 0"</f>
        <v>66 - 0</v>
      </c>
      <c r="Q42" t="str">
        <f>"132 - 0"</f>
        <v>132 - 0</v>
      </c>
    </row>
    <row r="43" spans="1:17" x14ac:dyDescent="0.25">
      <c r="A43" s="53" t="str">
        <f>"4"</f>
        <v>4</v>
      </c>
      <c r="B43" t="str">
        <f>"Hager, Michael (104)"</f>
        <v>Hager, Michael (104)</v>
      </c>
      <c r="C43" t="str">
        <f>"78 - 1"</f>
        <v>78 - 1</v>
      </c>
      <c r="D43" t="str">
        <f>"76 - 1"</f>
        <v>76 - 1</v>
      </c>
      <c r="E43" t="str">
        <f>"154 - 2"</f>
        <v>154 - 2</v>
      </c>
      <c r="G43" s="53" t="str">
        <f>"4"</f>
        <v>4</v>
      </c>
      <c r="H43" t="str">
        <f>"Elmhorst, Chris (103)"</f>
        <v>Elmhorst, Chris (103)</v>
      </c>
      <c r="I43" t="str">
        <f>"43 - 0"</f>
        <v>43 - 0</v>
      </c>
      <c r="J43" t="str">
        <f>"48 - 1"</f>
        <v>48 - 1</v>
      </c>
      <c r="K43" t="str">
        <f>"91 - 1"</f>
        <v>91 - 1</v>
      </c>
      <c r="M43" s="53" t="str">
        <f>"4"</f>
        <v>4</v>
      </c>
      <c r="N43" t="str">
        <f>"Henderson, Joseph (105)"</f>
        <v>Henderson, Joseph (105)</v>
      </c>
      <c r="O43" t="str">
        <f>"66 - 0"</f>
        <v>66 - 0</v>
      </c>
      <c r="P43" t="str">
        <f>"56 - 0"</f>
        <v>56 - 0</v>
      </c>
      <c r="Q43" t="str">
        <f>"122 - 0"</f>
        <v>122 - 0</v>
      </c>
    </row>
    <row r="44" spans="1:17" x14ac:dyDescent="0.25">
      <c r="A44" s="53" t="str">
        <f>"5"</f>
        <v>5</v>
      </c>
      <c r="B44" t="str">
        <f>"Henderson, Joseph (105)"</f>
        <v>Henderson, Joseph (105)</v>
      </c>
      <c r="C44" t="str">
        <f>"68 - 0"</f>
        <v>68 - 0</v>
      </c>
      <c r="D44" t="str">
        <f>"76 - 1"</f>
        <v>76 - 1</v>
      </c>
      <c r="E44" t="str">
        <f>"144 - 1"</f>
        <v>144 - 1</v>
      </c>
      <c r="G44" s="53" t="str">
        <f>"5"</f>
        <v>5</v>
      </c>
      <c r="H44" t="str">
        <f>"Hager, Michael (104)"</f>
        <v>Hager, Michael (104)</v>
      </c>
      <c r="I44" t="str">
        <f>"32 - 0"</f>
        <v>32 - 0</v>
      </c>
      <c r="J44" t="str">
        <f>"28 - 0"</f>
        <v>28 - 0</v>
      </c>
      <c r="K44" t="str">
        <f>"60 - 0"</f>
        <v>60 - 0</v>
      </c>
      <c r="M44" s="53" t="str">
        <f>"5"</f>
        <v>5</v>
      </c>
      <c r="N44" t="str">
        <f>"Hager, Michael (104)"</f>
        <v>Hager, Michael (104)</v>
      </c>
      <c r="O44" t="str">
        <f>"54 - 0"</f>
        <v>54 - 0</v>
      </c>
      <c r="P44" t="str">
        <f>"60 - 1"</f>
        <v>60 - 1</v>
      </c>
      <c r="Q44" t="str">
        <f>"114 - 1"</f>
        <v>114 - 1</v>
      </c>
    </row>
    <row r="45" spans="1:17" x14ac:dyDescent="0.25">
      <c r="A45" s="53"/>
      <c r="B45" t="str">
        <f>"Seichter, Dylan (106)"</f>
        <v>Seichter, Dylan (106)</v>
      </c>
      <c r="C45" t="str">
        <f>"57 - 0"</f>
        <v>57 - 0</v>
      </c>
      <c r="D45" t="str">
        <f>"61 - 0"</f>
        <v>61 - 0</v>
      </c>
      <c r="E45" t="str">
        <f>"118 - 0"</f>
        <v>118 - 0</v>
      </c>
      <c r="G45" s="53"/>
      <c r="H45" t="str">
        <f>"Seichter, Dylan (106)"</f>
        <v>Seichter, Dylan (106)</v>
      </c>
      <c r="I45" t="str">
        <f>"4 - 0"</f>
        <v>4 - 0</v>
      </c>
      <c r="J45" t="str">
        <f>"41 - 0"</f>
        <v>41 - 0</v>
      </c>
      <c r="K45" t="str">
        <f>"45 - 0"</f>
        <v>45 - 0</v>
      </c>
      <c r="M45" s="53"/>
      <c r="N45" t="str">
        <f>"Seichter, Dylan (106)"</f>
        <v>Seichter, Dylan (106)</v>
      </c>
      <c r="O45" t="str">
        <f>"44 - 0"</f>
        <v>44 - 0</v>
      </c>
      <c r="P45" t="str">
        <f>"37 - 0"</f>
        <v>37 - 0</v>
      </c>
      <c r="Q45" t="str">
        <f>"81 - 0"</f>
        <v>81 - 0</v>
      </c>
    </row>
    <row r="46" spans="1:17" x14ac:dyDescent="0.25">
      <c r="A46" s="53"/>
      <c r="B46" t="str">
        <f>"Krueger, Joel (101)"</f>
        <v>Krueger, Joel (101)</v>
      </c>
      <c r="C46" t="str">
        <f>"36 - 0"</f>
        <v>36 - 0</v>
      </c>
      <c r="D46" t="str">
        <f>"42 - 0"</f>
        <v>42 - 0</v>
      </c>
      <c r="E46" t="str">
        <f>"78 - 0"</f>
        <v>78 - 0</v>
      </c>
      <c r="G46" s="53"/>
      <c r="H46" t="str">
        <f>"Krueger, Joel (101)"</f>
        <v>Krueger, Joel (101)</v>
      </c>
      <c r="I46" t="str">
        <f>"9 - 0"</f>
        <v>9 - 0</v>
      </c>
      <c r="J46" t="str">
        <f>"28 - 0"</f>
        <v>28 - 0</v>
      </c>
      <c r="K46" t="str">
        <f>"37 - 0"</f>
        <v>37 - 0</v>
      </c>
      <c r="M46" s="53"/>
      <c r="N46" t="str">
        <f>"Krueger, Joel (101)"</f>
        <v>Krueger, Joel (101)</v>
      </c>
      <c r="O46" t="str">
        <f>"19 - 0"</f>
        <v>19 - 0</v>
      </c>
      <c r="P46" t="str">
        <f>"24 - 0"</f>
        <v>24 - 0</v>
      </c>
      <c r="Q46" t="str">
        <f>"43 - 0"</f>
        <v>43 - 0</v>
      </c>
    </row>
    <row r="49" spans="1:6" ht="18.75" x14ac:dyDescent="0.3">
      <c r="B49" s="56" t="s">
        <v>44</v>
      </c>
      <c r="C49" s="56"/>
      <c r="D49" s="56"/>
      <c r="E49" s="50" t="s">
        <v>45</v>
      </c>
    </row>
    <row r="51" spans="1:6" x14ac:dyDescent="0.25">
      <c r="A51" t="s">
        <v>11</v>
      </c>
      <c r="B51" t="s">
        <v>12</v>
      </c>
      <c r="C51" t="s">
        <v>13</v>
      </c>
      <c r="D51" t="s">
        <v>14</v>
      </c>
      <c r="E51" t="s">
        <v>16</v>
      </c>
      <c r="F51" t="s">
        <v>30</v>
      </c>
    </row>
    <row r="52" spans="1:6" x14ac:dyDescent="0.25">
      <c r="A52" s="53" t="str">
        <f>"1"</f>
        <v>1</v>
      </c>
      <c r="B52" t="str">
        <f>"Chippewa County Black"</f>
        <v>Chippewa County Black</v>
      </c>
      <c r="C52" t="str">
        <f>"715 - 18"</f>
        <v>715 - 18</v>
      </c>
      <c r="D52" t="str">
        <f>"551 - 3"</f>
        <v>551 - 3</v>
      </c>
      <c r="E52" t="str">
        <f>"628 - 4"</f>
        <v>628 - 4</v>
      </c>
      <c r="F52" t="str">
        <f>"1894 - 25"</f>
        <v>1894 - 25</v>
      </c>
    </row>
    <row r="53" spans="1:6" x14ac:dyDescent="0.25">
      <c r="A53" s="53" t="str">
        <f>""</f>
        <v/>
      </c>
      <c r="B53" t="str">
        <f>"Hall, Christian (206)"</f>
        <v>Hall, Christian (206)</v>
      </c>
      <c r="C53" t="str">
        <f>"186 - 8"</f>
        <v>186 - 8</v>
      </c>
      <c r="D53" t="str">
        <f>"138 - 1"</f>
        <v>138 - 1</v>
      </c>
      <c r="E53" t="str">
        <f>"157 - 0"</f>
        <v>157 - 0</v>
      </c>
      <c r="F53" t="str">
        <f>"481 - 9"</f>
        <v>481 - 9</v>
      </c>
    </row>
    <row r="54" spans="1:6" x14ac:dyDescent="0.25">
      <c r="A54" s="53" t="str">
        <f>""</f>
        <v/>
      </c>
      <c r="B54" t="str">
        <f>"Elmhorst, Emily (202)"</f>
        <v>Elmhorst, Emily (202)</v>
      </c>
      <c r="C54" t="str">
        <f>"181 - 4"</f>
        <v>181 - 4</v>
      </c>
      <c r="D54" t="str">
        <f>"145 - 2"</f>
        <v>145 - 2</v>
      </c>
      <c r="E54" t="str">
        <f>"153 - 2"</f>
        <v>153 - 2</v>
      </c>
      <c r="F54" t="str">
        <f>"479 - 8"</f>
        <v>479 - 8</v>
      </c>
    </row>
    <row r="55" spans="1:6" x14ac:dyDescent="0.25">
      <c r="A55" s="53" t="str">
        <f>""</f>
        <v/>
      </c>
      <c r="B55" t="str">
        <f>"Hall, Dominic (207)"</f>
        <v>Hall, Dominic (207)</v>
      </c>
      <c r="C55" t="str">
        <f>"168 - 1"</f>
        <v>168 - 1</v>
      </c>
      <c r="D55" t="str">
        <f>"137 - 0"</f>
        <v>137 - 0</v>
      </c>
      <c r="E55" t="str">
        <f>"163 - 0"</f>
        <v>163 - 0</v>
      </c>
      <c r="F55" t="str">
        <f>"468 - 1"</f>
        <v>468 - 1</v>
      </c>
    </row>
    <row r="56" spans="1:6" x14ac:dyDescent="0.25">
      <c r="A56" s="53" t="str">
        <f>""</f>
        <v/>
      </c>
      <c r="B56" t="str">
        <f>"Hager, Rachel (203)"</f>
        <v>Hager, Rachel (203)</v>
      </c>
      <c r="C56" t="str">
        <f>"180 - 5"</f>
        <v>180 - 5</v>
      </c>
      <c r="D56" t="str">
        <f>"131 - 0"</f>
        <v>131 - 0</v>
      </c>
      <c r="E56" t="str">
        <f>"155 - 2"</f>
        <v>155 - 2</v>
      </c>
      <c r="F56" t="str">
        <f>"466 - 7"</f>
        <v>466 - 7</v>
      </c>
    </row>
    <row r="57" spans="1:6" x14ac:dyDescent="0.25">
      <c r="A57" s="53" t="str">
        <f>"2"</f>
        <v>2</v>
      </c>
      <c r="B57" t="str">
        <f>"Chippewa County White"</f>
        <v>Chippewa County White</v>
      </c>
      <c r="C57" t="str">
        <f>"628 - 7"</f>
        <v>628 - 7</v>
      </c>
      <c r="D57" t="str">
        <f>"364 - 1"</f>
        <v>364 - 1</v>
      </c>
      <c r="E57" t="str">
        <f>"509 - 2"</f>
        <v>509 - 2</v>
      </c>
      <c r="F57" t="str">
        <f>"1501 - 10"</f>
        <v>1501 - 10</v>
      </c>
    </row>
    <row r="58" spans="1:6" x14ac:dyDescent="0.25">
      <c r="A58" t="str">
        <f>""</f>
        <v/>
      </c>
      <c r="B58" t="str">
        <f>"Prince, Kianna (208)"</f>
        <v>Prince, Kianna (208)</v>
      </c>
      <c r="C58" t="str">
        <f>"169 - 1"</f>
        <v>169 - 1</v>
      </c>
      <c r="D58" t="str">
        <f>"101 - 0"</f>
        <v>101 - 0</v>
      </c>
      <c r="E58" t="str">
        <f>"141 - 1"</f>
        <v>141 - 1</v>
      </c>
      <c r="F58" t="str">
        <f>"411 - 2"</f>
        <v>411 - 2</v>
      </c>
    </row>
    <row r="59" spans="1:6" x14ac:dyDescent="0.25">
      <c r="A59" t="str">
        <f>""</f>
        <v/>
      </c>
      <c r="B59" t="str">
        <f>"Elmhorst, Chris (103)"</f>
        <v>Elmhorst, Chris (103)</v>
      </c>
      <c r="C59" t="str">
        <f>"161 - 3"</f>
        <v>161 - 3</v>
      </c>
      <c r="D59" t="str">
        <f>"91 - 1"</f>
        <v>91 - 1</v>
      </c>
      <c r="E59" t="str">
        <f>"132 - 0"</f>
        <v>132 - 0</v>
      </c>
      <c r="F59" t="str">
        <f>"384 - 4"</f>
        <v>384 - 4</v>
      </c>
    </row>
    <row r="60" spans="1:6" x14ac:dyDescent="0.25">
      <c r="A60" t="str">
        <f>""</f>
        <v/>
      </c>
      <c r="B60" t="str">
        <f>"Henderson, Joseph (105)"</f>
        <v>Henderson, Joseph (105)</v>
      </c>
      <c r="C60" t="str">
        <f>"144 - 1"</f>
        <v>144 - 1</v>
      </c>
      <c r="D60" t="str">
        <f>"112 - 0"</f>
        <v>112 - 0</v>
      </c>
      <c r="E60" t="str">
        <f>"122 - 0"</f>
        <v>122 - 0</v>
      </c>
      <c r="F60" t="str">
        <f>"378 - 1"</f>
        <v>378 - 1</v>
      </c>
    </row>
    <row r="61" spans="1:6" x14ac:dyDescent="0.25">
      <c r="A61" t="str">
        <f>""</f>
        <v/>
      </c>
      <c r="B61" t="str">
        <f>"Hager, Michael (104)"</f>
        <v>Hager, Michael (104)</v>
      </c>
      <c r="C61" t="str">
        <f>"154 - 2"</f>
        <v>154 - 2</v>
      </c>
      <c r="D61" t="str">
        <f>"60 - 0"</f>
        <v>60 - 0</v>
      </c>
      <c r="E61" t="str">
        <f>"114 - 1"</f>
        <v>114 - 1</v>
      </c>
      <c r="F61" t="str">
        <f>"328 - 3"</f>
        <v>328 - 3</v>
      </c>
    </row>
  </sheetData>
  <mergeCells count="2">
    <mergeCell ref="B1:D1"/>
    <mergeCell ref="B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BD43-C34C-4D4E-B95D-7E64FA6A650B}">
  <dimension ref="A1:O15"/>
  <sheetViews>
    <sheetView workbookViewId="0">
      <selection activeCell="H16" sqref="H16"/>
    </sheetView>
  </sheetViews>
  <sheetFormatPr defaultRowHeight="15" x14ac:dyDescent="0.25"/>
  <cols>
    <col min="1" max="1" width="5.28515625" customWidth="1"/>
    <col min="2" max="2" width="24.42578125" customWidth="1"/>
    <col min="9" max="9" width="5.28515625" customWidth="1"/>
    <col min="10" max="10" width="23" customWidth="1"/>
  </cols>
  <sheetData>
    <row r="1" spans="1:15" ht="18.75" x14ac:dyDescent="0.3">
      <c r="B1" s="56" t="s">
        <v>44</v>
      </c>
      <c r="C1" s="56"/>
      <c r="D1" s="56"/>
      <c r="E1" s="50" t="s">
        <v>45</v>
      </c>
      <c r="I1" s="50" t="s">
        <v>29</v>
      </c>
      <c r="M1" s="50" t="s">
        <v>52</v>
      </c>
    </row>
    <row r="2" spans="1:15" x14ac:dyDescent="0.25"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31</v>
      </c>
    </row>
    <row r="3" spans="1:15" x14ac:dyDescent="0.25">
      <c r="A3" t="s">
        <v>11</v>
      </c>
      <c r="B3" t="s">
        <v>12</v>
      </c>
      <c r="C3" t="s">
        <v>13</v>
      </c>
      <c r="D3" t="s">
        <v>14</v>
      </c>
      <c r="E3" t="s">
        <v>16</v>
      </c>
      <c r="F3" t="s">
        <v>30</v>
      </c>
      <c r="I3" s="53" t="str">
        <f>"1"</f>
        <v>1</v>
      </c>
      <c r="J3" t="str">
        <f>"Chippewa County Pups"</f>
        <v>Chippewa County Pups</v>
      </c>
      <c r="K3" t="str">
        <f>"308 - 3"</f>
        <v>308 - 3</v>
      </c>
      <c r="L3" t="str">
        <f>"249 - 2"</f>
        <v>249 - 2</v>
      </c>
      <c r="M3" t="str">
        <f>"272 - 1"</f>
        <v>272 - 1</v>
      </c>
      <c r="N3" t="str">
        <f>"288 - 3"</f>
        <v>288 - 3</v>
      </c>
      <c r="O3" t="str">
        <f>"1117 - 8"</f>
        <v>1117 - 8</v>
      </c>
    </row>
    <row r="4" spans="1:15" x14ac:dyDescent="0.25">
      <c r="A4" s="53" t="str">
        <f>"1"</f>
        <v>1</v>
      </c>
      <c r="B4" t="str">
        <f>"Chippewa County Black"</f>
        <v>Chippewa County Black</v>
      </c>
      <c r="C4" t="str">
        <f>"715 - 18"</f>
        <v>715 - 18</v>
      </c>
      <c r="D4" t="str">
        <f>"551 - 3"</f>
        <v>551 - 3</v>
      </c>
      <c r="E4" t="str">
        <f>"628 - 4"</f>
        <v>628 - 4</v>
      </c>
      <c r="F4" t="str">
        <f>"1894 - 25"</f>
        <v>1894 - 25</v>
      </c>
      <c r="I4" s="53" t="str">
        <f>""</f>
        <v/>
      </c>
      <c r="J4" t="str">
        <f>"Elmhorst, Chris (301)"</f>
        <v>Elmhorst, Chris (301)</v>
      </c>
      <c r="K4" t="str">
        <f>"88 - 2"</f>
        <v>88 - 2</v>
      </c>
      <c r="L4" t="str">
        <f>"76 - 1"</f>
        <v>76 - 1</v>
      </c>
      <c r="M4" t="str">
        <f>"62 - 0"</f>
        <v>62 - 0</v>
      </c>
      <c r="N4" t="str">
        <f>"73 - 1"</f>
        <v>73 - 1</v>
      </c>
      <c r="O4" t="str">
        <f>"299 - 4"</f>
        <v>299 - 4</v>
      </c>
    </row>
    <row r="5" spans="1:15" x14ac:dyDescent="0.25">
      <c r="A5" s="53" t="str">
        <f>""</f>
        <v/>
      </c>
      <c r="B5" t="str">
        <f>"Hall, Christian (206)"</f>
        <v>Hall, Christian (206)</v>
      </c>
      <c r="C5" t="str">
        <f>"186 - 8"</f>
        <v>186 - 8</v>
      </c>
      <c r="D5" t="str">
        <f>"138 - 1"</f>
        <v>138 - 1</v>
      </c>
      <c r="E5" t="str">
        <f>"157 - 0"</f>
        <v>157 - 0</v>
      </c>
      <c r="F5" t="str">
        <f>"481 - 9"</f>
        <v>481 - 9</v>
      </c>
      <c r="I5" s="53" t="str">
        <f>""</f>
        <v/>
      </c>
      <c r="J5" t="str">
        <f>"Elmhorst, Brett (208)"</f>
        <v>Elmhorst, Brett (208)</v>
      </c>
      <c r="K5" t="str">
        <f>"65 - 0"</f>
        <v>65 - 0</v>
      </c>
      <c r="L5" t="str">
        <f>"59 - 0"</f>
        <v>59 - 0</v>
      </c>
      <c r="M5" t="str">
        <f>"84 - 1"</f>
        <v>84 - 1</v>
      </c>
      <c r="N5" t="str">
        <f>"76 - 2"</f>
        <v>76 - 2</v>
      </c>
      <c r="O5" t="str">
        <f>"284 - 3"</f>
        <v>284 - 3</v>
      </c>
    </row>
    <row r="6" spans="1:15" x14ac:dyDescent="0.25">
      <c r="A6" s="53" t="str">
        <f>""</f>
        <v/>
      </c>
      <c r="B6" t="str">
        <f>"Elmhorst, Emily (202)"</f>
        <v>Elmhorst, Emily (202)</v>
      </c>
      <c r="C6" t="str">
        <f>"181 - 4"</f>
        <v>181 - 4</v>
      </c>
      <c r="D6" t="str">
        <f>"145 - 2"</f>
        <v>145 - 2</v>
      </c>
      <c r="E6" t="str">
        <f>"153 - 2"</f>
        <v>153 - 2</v>
      </c>
      <c r="F6" t="str">
        <f>"479 - 8"</f>
        <v>479 - 8</v>
      </c>
      <c r="I6" s="53" t="str">
        <f>""</f>
        <v/>
      </c>
      <c r="J6" t="str">
        <f>"Sikora, Abigail (205)"</f>
        <v>Sikora, Abigail (205)</v>
      </c>
      <c r="K6" t="str">
        <f>"77 - 0"</f>
        <v>77 - 0</v>
      </c>
      <c r="L6" t="str">
        <f>"61 - 0"</f>
        <v>61 - 0</v>
      </c>
      <c r="M6" t="str">
        <f>"68 - 0"</f>
        <v>68 - 0</v>
      </c>
      <c r="N6" t="str">
        <f>"72 - 0"</f>
        <v>72 - 0</v>
      </c>
      <c r="O6" t="str">
        <f>"278 - 0"</f>
        <v>278 - 0</v>
      </c>
    </row>
    <row r="7" spans="1:15" x14ac:dyDescent="0.25">
      <c r="A7" s="53" t="str">
        <f>""</f>
        <v/>
      </c>
      <c r="B7" t="str">
        <f>"Hall, Dominic (207)"</f>
        <v>Hall, Dominic (207)</v>
      </c>
      <c r="C7" t="str">
        <f>"168 - 1"</f>
        <v>168 - 1</v>
      </c>
      <c r="D7" t="str">
        <f>"137 - 0"</f>
        <v>137 - 0</v>
      </c>
      <c r="E7" t="str">
        <f>"163 - 0"</f>
        <v>163 - 0</v>
      </c>
      <c r="F7" t="str">
        <f>"468 - 1"</f>
        <v>468 - 1</v>
      </c>
      <c r="I7" s="53" t="str">
        <f>""</f>
        <v/>
      </c>
      <c r="J7" t="str">
        <f>"Swobada, Kylie (206)"</f>
        <v>Swobada, Kylie (206)</v>
      </c>
      <c r="K7" t="str">
        <f>"78 - 1"</f>
        <v>78 - 1</v>
      </c>
      <c r="L7" t="str">
        <f>"53 - 0"</f>
        <v>53 - 0</v>
      </c>
      <c r="M7" t="str">
        <f>"58 - 0"</f>
        <v>58 - 0</v>
      </c>
      <c r="N7" t="str">
        <f>"67 - 0"</f>
        <v>67 - 0</v>
      </c>
      <c r="O7" t="str">
        <f>"256 - 1"</f>
        <v>256 - 1</v>
      </c>
    </row>
    <row r="8" spans="1:15" x14ac:dyDescent="0.25">
      <c r="A8" s="53" t="str">
        <f>""</f>
        <v/>
      </c>
      <c r="B8" t="str">
        <f>"Hager, Rachel (203)"</f>
        <v>Hager, Rachel (203)</v>
      </c>
      <c r="C8" t="str">
        <f>"180 - 5"</f>
        <v>180 - 5</v>
      </c>
      <c r="D8" t="str">
        <f>"131 - 0"</f>
        <v>131 - 0</v>
      </c>
      <c r="E8" t="str">
        <f>"155 - 2"</f>
        <v>155 - 2</v>
      </c>
      <c r="F8" t="str">
        <f>"466 - 7"</f>
        <v>466 - 7</v>
      </c>
      <c r="I8" s="53" t="str">
        <f>""</f>
        <v/>
      </c>
      <c r="J8" t="str">
        <f>"Dohms, Gabe (207)"</f>
        <v>Dohms, Gabe (207)</v>
      </c>
      <c r="K8" t="str">
        <f>"57 - 2"</f>
        <v>57 - 2</v>
      </c>
      <c r="L8" t="str">
        <f>"53 - 1"</f>
        <v>53 - 1</v>
      </c>
      <c r="M8" t="str">
        <f>"55 - 0"</f>
        <v>55 - 0</v>
      </c>
      <c r="N8" t="str">
        <f>"40 - 0"</f>
        <v>40 - 0</v>
      </c>
      <c r="O8" t="str">
        <f>"205 - 3"</f>
        <v>205 - 3</v>
      </c>
    </row>
    <row r="9" spans="1:15" x14ac:dyDescent="0.25">
      <c r="A9" s="53" t="str">
        <f>"2"</f>
        <v>2</v>
      </c>
      <c r="B9" t="str">
        <f>"Chippewa County White"</f>
        <v>Chippewa County White</v>
      </c>
      <c r="C9" t="str">
        <f>"628 - 7"</f>
        <v>628 - 7</v>
      </c>
      <c r="D9" t="str">
        <f>"364 - 1"</f>
        <v>364 - 1</v>
      </c>
      <c r="E9" t="str">
        <f>"509 - 2"</f>
        <v>509 - 2</v>
      </c>
      <c r="F9" t="str">
        <f>"1501 - 10"</f>
        <v>1501 - 10</v>
      </c>
      <c r="I9" s="53"/>
    </row>
    <row r="10" spans="1:15" x14ac:dyDescent="0.25">
      <c r="A10" t="str">
        <f>""</f>
        <v/>
      </c>
      <c r="B10" t="str">
        <f>"Prince, Kianna (208)"</f>
        <v>Prince, Kianna (208)</v>
      </c>
      <c r="C10" t="str">
        <f>"169 - 1"</f>
        <v>169 - 1</v>
      </c>
      <c r="D10" t="str">
        <f>"101 - 0"</f>
        <v>101 - 0</v>
      </c>
      <c r="E10" t="str">
        <f>"141 - 1"</f>
        <v>141 - 1</v>
      </c>
      <c r="F10" t="str">
        <f>"411 - 2"</f>
        <v>411 - 2</v>
      </c>
      <c r="I10" s="53" t="str">
        <f>"2"</f>
        <v>2</v>
      </c>
      <c r="J10" t="str">
        <f>"Chippewa County Fawns"</f>
        <v>Chippewa County Fawns</v>
      </c>
      <c r="K10" t="str">
        <f>"295 - 0"</f>
        <v>295 - 0</v>
      </c>
      <c r="L10" t="str">
        <f>"213 - 0"</f>
        <v>213 - 0</v>
      </c>
      <c r="M10" t="str">
        <f>"277 - 1"</f>
        <v>277 - 1</v>
      </c>
      <c r="N10" t="str">
        <f>"261 - 1"</f>
        <v>261 - 1</v>
      </c>
      <c r="O10" t="str">
        <f>"1034 - 2"</f>
        <v>1034 - 2</v>
      </c>
    </row>
    <row r="11" spans="1:15" x14ac:dyDescent="0.25">
      <c r="A11" t="str">
        <f>""</f>
        <v/>
      </c>
      <c r="B11" t="str">
        <f>"Elmhorst, Chris (103)"</f>
        <v>Elmhorst, Chris (103)</v>
      </c>
      <c r="C11" t="str">
        <f>"161 - 3"</f>
        <v>161 - 3</v>
      </c>
      <c r="D11" t="str">
        <f>"91 - 1"</f>
        <v>91 - 1</v>
      </c>
      <c r="E11" t="str">
        <f>"132 - 0"</f>
        <v>132 - 0</v>
      </c>
      <c r="F11" t="str">
        <f>"384 - 4"</f>
        <v>384 - 4</v>
      </c>
      <c r="I11" t="str">
        <f>""</f>
        <v/>
      </c>
      <c r="J11" t="str">
        <f>"Fasbender, Owen (209)"</f>
        <v>Fasbender, Owen (209)</v>
      </c>
      <c r="K11" t="str">
        <f>"80 - 0"</f>
        <v>80 - 0</v>
      </c>
      <c r="L11" t="str">
        <f>"67 - 0"</f>
        <v>67 - 0</v>
      </c>
      <c r="M11" t="str">
        <f>"82 - 1"</f>
        <v>82 - 1</v>
      </c>
      <c r="N11" t="str">
        <f>"65 - 0"</f>
        <v>65 - 0</v>
      </c>
      <c r="O11" t="str">
        <f>"294 - 1"</f>
        <v>294 - 1</v>
      </c>
    </row>
    <row r="12" spans="1:15" x14ac:dyDescent="0.25">
      <c r="A12" t="str">
        <f>""</f>
        <v/>
      </c>
      <c r="B12" t="str">
        <f>"Henderson, Joseph (105)"</f>
        <v>Henderson, Joseph (105)</v>
      </c>
      <c r="C12" t="str">
        <f>"144 - 1"</f>
        <v>144 - 1</v>
      </c>
      <c r="D12" t="str">
        <f>"112 - 0"</f>
        <v>112 - 0</v>
      </c>
      <c r="E12" t="str">
        <f>"122 - 0"</f>
        <v>122 - 0</v>
      </c>
      <c r="F12" t="str">
        <f>"378 - 1"</f>
        <v>378 - 1</v>
      </c>
      <c r="I12" t="str">
        <f>""</f>
        <v/>
      </c>
      <c r="J12" t="str">
        <f>"Cochran, Wyatt (101)"</f>
        <v>Cochran, Wyatt (101)</v>
      </c>
      <c r="K12" t="str">
        <f>"72 - 0"</f>
        <v>72 - 0</v>
      </c>
      <c r="L12" t="str">
        <f>"58 - 0"</f>
        <v>58 - 0</v>
      </c>
      <c r="M12" t="str">
        <f>"65 - 0"</f>
        <v>65 - 0</v>
      </c>
      <c r="N12" t="str">
        <f>"65 - 0"</f>
        <v>65 - 0</v>
      </c>
      <c r="O12" t="str">
        <f>"260 - 0"</f>
        <v>260 - 0</v>
      </c>
    </row>
    <row r="13" spans="1:15" x14ac:dyDescent="0.25">
      <c r="A13" t="str">
        <f>""</f>
        <v/>
      </c>
      <c r="B13" t="str">
        <f>"Hager, Michael (104)"</f>
        <v>Hager, Michael (104)</v>
      </c>
      <c r="C13" t="str">
        <f>"154 - 2"</f>
        <v>154 - 2</v>
      </c>
      <c r="D13" t="str">
        <f>"60 - 0"</f>
        <v>60 - 0</v>
      </c>
      <c r="E13" t="str">
        <f>"114 - 1"</f>
        <v>114 - 1</v>
      </c>
      <c r="F13" t="str">
        <f>"328 - 3"</f>
        <v>328 - 3</v>
      </c>
      <c r="I13" t="str">
        <f>""</f>
        <v/>
      </c>
      <c r="J13" t="str">
        <f>"Kempe, Kara (203)"</f>
        <v>Kempe, Kara (203)</v>
      </c>
      <c r="K13" t="str">
        <f>"74 - 0"</f>
        <v>74 - 0</v>
      </c>
      <c r="L13" t="str">
        <f>"39 - 0"</f>
        <v>39 - 0</v>
      </c>
      <c r="M13" t="str">
        <f>"64 - 0"</f>
        <v>64 - 0</v>
      </c>
      <c r="N13" t="str">
        <f>"70 - 1"</f>
        <v>70 - 1</v>
      </c>
      <c r="O13" t="str">
        <f>"247 - 1"</f>
        <v>247 - 1</v>
      </c>
    </row>
    <row r="14" spans="1:15" x14ac:dyDescent="0.25">
      <c r="I14" t="str">
        <f>""</f>
        <v/>
      </c>
      <c r="J14" t="str">
        <f>"Buntz, Ben  (202)"</f>
        <v>Buntz, Ben  (202)</v>
      </c>
      <c r="K14" t="str">
        <f>"69 - 0"</f>
        <v>69 - 0</v>
      </c>
      <c r="L14" t="str">
        <f>"49 - 0"</f>
        <v>49 - 0</v>
      </c>
      <c r="M14" t="str">
        <f>"56 - 0"</f>
        <v>56 - 0</v>
      </c>
      <c r="N14" t="str">
        <f>"59 - 0"</f>
        <v>59 - 0</v>
      </c>
      <c r="O14" t="str">
        <f>"233 - 0"</f>
        <v>233 - 0</v>
      </c>
    </row>
    <row r="15" spans="1:15" x14ac:dyDescent="0.25">
      <c r="I15" t="str">
        <f>""</f>
        <v/>
      </c>
      <c r="J15" t="str">
        <f>"Anderson, Pierce (201)"</f>
        <v>Anderson, Pierce (201)</v>
      </c>
      <c r="K15" t="str">
        <f>"51 - 0"</f>
        <v>51 - 0</v>
      </c>
      <c r="L15" t="str">
        <f>"30 - 0"</f>
        <v>30 - 0</v>
      </c>
      <c r="M15" t="str">
        <f>"66 - 0"</f>
        <v>66 - 0</v>
      </c>
      <c r="N15" t="str">
        <f>"61 - 0"</f>
        <v>61 - 0</v>
      </c>
      <c r="O15" t="str">
        <f>"208 - 0"</f>
        <v>208 - 0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D305-098E-4127-96DB-22FF0A7D61AF}">
  <dimension ref="A1:X57"/>
  <sheetViews>
    <sheetView workbookViewId="0">
      <selection activeCell="I1" sqref="I1"/>
    </sheetView>
  </sheetViews>
  <sheetFormatPr defaultRowHeight="15" x14ac:dyDescent="0.25"/>
  <cols>
    <col min="1" max="1" width="7.28515625" customWidth="1"/>
    <col min="2" max="2" width="26.28515625" customWidth="1"/>
    <col min="6" max="6" width="10.42578125" customWidth="1"/>
    <col min="7" max="7" width="1.7109375" customWidth="1"/>
    <col min="8" max="8" width="6.28515625" customWidth="1"/>
    <col min="9" max="9" width="24.5703125" customWidth="1"/>
    <col min="10" max="10" width="6.140625" customWidth="1"/>
    <col min="11" max="11" width="6.28515625" customWidth="1"/>
    <col min="12" max="12" width="7.42578125" customWidth="1"/>
    <col min="13" max="13" width="1.7109375" customWidth="1"/>
    <col min="14" max="14" width="6.140625" customWidth="1"/>
    <col min="15" max="15" width="25.5703125" customWidth="1"/>
    <col min="16" max="16" width="6.28515625" customWidth="1"/>
    <col min="17" max="17" width="6.7109375" customWidth="1"/>
    <col min="19" max="19" width="1.7109375" customWidth="1"/>
    <col min="20" max="20" width="6.140625" customWidth="1"/>
    <col min="21" max="21" width="26" customWidth="1"/>
    <col min="22" max="22" width="6.28515625" customWidth="1"/>
    <col min="23" max="23" width="6.5703125" customWidth="1"/>
  </cols>
  <sheetData>
    <row r="1" spans="1:6" ht="18.75" x14ac:dyDescent="0.3">
      <c r="B1" s="56" t="s">
        <v>46</v>
      </c>
      <c r="C1" s="56"/>
      <c r="D1" s="56"/>
      <c r="E1" t="s">
        <v>38</v>
      </c>
    </row>
    <row r="2" spans="1:6" x14ac:dyDescent="0.25">
      <c r="A2" t="s">
        <v>11</v>
      </c>
      <c r="B2" t="s">
        <v>12</v>
      </c>
      <c r="C2" t="s">
        <v>13</v>
      </c>
      <c r="D2" t="s">
        <v>14</v>
      </c>
      <c r="E2" t="s">
        <v>16</v>
      </c>
      <c r="F2" t="s">
        <v>17</v>
      </c>
    </row>
    <row r="3" spans="1:6" x14ac:dyDescent="0.25">
      <c r="A3" t="s">
        <v>19</v>
      </c>
      <c r="B3" t="str">
        <f>"Hall, Dominic (185138)"</f>
        <v>Hall, Dominic (185138)</v>
      </c>
      <c r="C3" t="str">
        <f>"171 - 1"</f>
        <v>171 - 1</v>
      </c>
      <c r="D3" t="str">
        <f>"152 - 2"</f>
        <v>152 - 2</v>
      </c>
      <c r="E3" t="str">
        <f>"167 - 1"</f>
        <v>167 - 1</v>
      </c>
      <c r="F3" t="str">
        <f>"490 - 4"</f>
        <v>490 - 4</v>
      </c>
    </row>
    <row r="4" spans="1:6" x14ac:dyDescent="0.25">
      <c r="A4" t="s">
        <v>20</v>
      </c>
      <c r="B4" t="str">
        <f>"Muckler, Eli (283138)"</f>
        <v>Muckler, Eli (283138)</v>
      </c>
      <c r="C4" t="str">
        <f>"183 - 4"</f>
        <v>183 - 4</v>
      </c>
      <c r="D4" t="str">
        <f>"131 - 1"</f>
        <v>131 - 1</v>
      </c>
      <c r="E4" t="str">
        <f>"169 - 3"</f>
        <v>169 - 3</v>
      </c>
      <c r="F4" t="str">
        <f>"483 - 8"</f>
        <v>483 - 8</v>
      </c>
    </row>
    <row r="5" spans="1:6" x14ac:dyDescent="0.25">
      <c r="A5" t="s">
        <v>21</v>
      </c>
      <c r="B5" t="str">
        <f>"Elmhorst, Emily (257186)"</f>
        <v>Elmhorst, Emily (257186)</v>
      </c>
      <c r="C5" t="str">
        <f>"186 - 6"</f>
        <v>186 - 6</v>
      </c>
      <c r="D5" t="str">
        <f>"127 - 0"</f>
        <v>127 - 0</v>
      </c>
      <c r="E5" t="str">
        <f>"166 - 4"</f>
        <v>166 - 4</v>
      </c>
      <c r="F5" t="str">
        <f>"479 - 10"</f>
        <v>479 - 10</v>
      </c>
    </row>
    <row r="6" spans="1:6" x14ac:dyDescent="0.25">
      <c r="B6" t="str">
        <f>"Bednarek, Brady (256774)"</f>
        <v>Bednarek, Brady (256774)</v>
      </c>
      <c r="C6" t="str">
        <f>"166 - 1"</f>
        <v>166 - 1</v>
      </c>
      <c r="D6" t="str">
        <f>"142 - 1"</f>
        <v>142 - 1</v>
      </c>
      <c r="E6" t="str">
        <f>"157 - 0"</f>
        <v>157 - 0</v>
      </c>
      <c r="F6" t="str">
        <f>"465 - 2"</f>
        <v>465 - 2</v>
      </c>
    </row>
    <row r="7" spans="1:6" x14ac:dyDescent="0.25">
      <c r="B7" t="str">
        <f>"Hager, Rachel (257189)"</f>
        <v>Hager, Rachel (257189)</v>
      </c>
      <c r="C7" t="str">
        <f>"176 - 5"</f>
        <v>176 - 5</v>
      </c>
      <c r="D7" t="str">
        <f>"118 - 0"</f>
        <v>118 - 0</v>
      </c>
      <c r="E7" t="str">
        <f>"165 - 3"</f>
        <v>165 - 3</v>
      </c>
      <c r="F7" t="str">
        <f>"459 - 8"</f>
        <v>459 - 8</v>
      </c>
    </row>
    <row r="8" spans="1:6" x14ac:dyDescent="0.25">
      <c r="B8" t="str">
        <f>"Lewis, Alexia (313265)"</f>
        <v>Lewis, Alexia (313265)</v>
      </c>
      <c r="C8" t="str">
        <f>"168 - 2"</f>
        <v>168 - 2</v>
      </c>
      <c r="D8" t="str">
        <f>"138 - 1"</f>
        <v>138 - 1</v>
      </c>
      <c r="E8" t="str">
        <f>"148 - 1"</f>
        <v>148 - 1</v>
      </c>
      <c r="F8" t="str">
        <f>"454 - 4"</f>
        <v>454 - 4</v>
      </c>
    </row>
    <row r="9" spans="1:6" x14ac:dyDescent="0.25">
      <c r="B9" t="str">
        <f>"Aschebrook, Olivia (282756)"</f>
        <v>Aschebrook, Olivia (282756)</v>
      </c>
      <c r="C9" t="str">
        <f>"178 - 3"</f>
        <v>178 - 3</v>
      </c>
      <c r="D9" t="str">
        <f>"150 - 1"</f>
        <v>150 - 1</v>
      </c>
      <c r="E9" t="str">
        <f>"125 - 0"</f>
        <v>125 - 0</v>
      </c>
      <c r="F9" t="str">
        <f>"453 - 4"</f>
        <v>453 - 4</v>
      </c>
    </row>
    <row r="10" spans="1:6" x14ac:dyDescent="0.25">
      <c r="B10" t="str">
        <f>"Hall, Christian (185140)"</f>
        <v>Hall, Christian (185140)</v>
      </c>
      <c r="C10" t="str">
        <f>"183 - 3"</f>
        <v>183 - 3</v>
      </c>
      <c r="D10" t="str">
        <f>"108 - 1"</f>
        <v>108 - 1</v>
      </c>
      <c r="E10" t="str">
        <f>"152 - 1"</f>
        <v>152 - 1</v>
      </c>
      <c r="F10" t="str">
        <f>"443 - 5"</f>
        <v>443 - 5</v>
      </c>
    </row>
    <row r="11" spans="1:6" x14ac:dyDescent="0.25">
      <c r="B11" t="str">
        <f>"Malphy, Brock (280090)"</f>
        <v>Malphy, Brock (280090)</v>
      </c>
      <c r="C11" t="str">
        <f>"175 - 4"</f>
        <v>175 - 4</v>
      </c>
      <c r="D11" t="str">
        <f>"89 - 0"</f>
        <v>89 - 0</v>
      </c>
      <c r="E11" t="str">
        <f>"162 - 3"</f>
        <v>162 - 3</v>
      </c>
      <c r="F11" t="str">
        <f>"426 - 7"</f>
        <v>426 - 7</v>
      </c>
    </row>
    <row r="12" spans="1:6" x14ac:dyDescent="0.25">
      <c r="B12" t="str">
        <f>"Lee, James (316988)"</f>
        <v>Lee, James (316988)</v>
      </c>
      <c r="C12" t="str">
        <f>"157 - 1"</f>
        <v>157 - 1</v>
      </c>
      <c r="D12" t="str">
        <f>"97 - 0"</f>
        <v>97 - 0</v>
      </c>
      <c r="E12" t="str">
        <f>"131 - 0"</f>
        <v>131 - 0</v>
      </c>
      <c r="F12" t="str">
        <f>"385 - 1"</f>
        <v>385 - 1</v>
      </c>
    </row>
    <row r="13" spans="1:6" x14ac:dyDescent="0.25">
      <c r="B13" t="str">
        <f>"Malphy, Jake (337349)"</f>
        <v>Malphy, Jake (337349)</v>
      </c>
      <c r="C13" t="str">
        <f>"170 - 4"</f>
        <v>170 - 4</v>
      </c>
      <c r="D13" t="str">
        <f>"81 - 0"</f>
        <v>81 - 0</v>
      </c>
      <c r="E13" t="str">
        <f>"133 - 1"</f>
        <v>133 - 1</v>
      </c>
      <c r="F13" t="str">
        <f>"384 - 5"</f>
        <v>384 - 5</v>
      </c>
    </row>
    <row r="14" spans="1:6" x14ac:dyDescent="0.25">
      <c r="B14" t="str">
        <f>"Hager, Michael (342133)"</f>
        <v>Hager, Michael (342133)</v>
      </c>
      <c r="C14" t="str">
        <f>"147 - 1"</f>
        <v>147 - 1</v>
      </c>
      <c r="D14" t="str">
        <f>"33 - 0"</f>
        <v>33 - 0</v>
      </c>
      <c r="E14" t="str">
        <f>"73 - 0"</f>
        <v>73 - 0</v>
      </c>
      <c r="F14" t="str">
        <f>"253 - 1"</f>
        <v>253 - 1</v>
      </c>
    </row>
    <row r="15" spans="1:6" x14ac:dyDescent="0.25">
      <c r="B15" t="str">
        <f>"Krueger, Joel (391147)"</f>
        <v>Krueger, Joel (391147)</v>
      </c>
      <c r="C15" t="str">
        <f>"134 - 0"</f>
        <v>134 - 0</v>
      </c>
      <c r="D15" t="str">
        <f>"46 - 0"</f>
        <v>46 - 0</v>
      </c>
      <c r="E15" t="str">
        <f>"35 - 0"</f>
        <v>35 - 0</v>
      </c>
      <c r="F15" t="str">
        <f>"215 - 0"</f>
        <v>215 - 0</v>
      </c>
    </row>
    <row r="18" spans="1:24" ht="18.75" x14ac:dyDescent="0.3">
      <c r="B18" s="56" t="s">
        <v>47</v>
      </c>
      <c r="C18" s="56"/>
      <c r="D18" s="56"/>
      <c r="I18" s="56" t="s">
        <v>13</v>
      </c>
      <c r="J18" s="56"/>
      <c r="K18" s="56"/>
      <c r="O18" s="56" t="s">
        <v>14</v>
      </c>
      <c r="P18" s="56"/>
      <c r="Q18" s="56"/>
      <c r="U18" s="56" t="s">
        <v>16</v>
      </c>
      <c r="V18" s="56"/>
      <c r="W18" s="56"/>
    </row>
    <row r="19" spans="1:24" x14ac:dyDescent="0.25">
      <c r="A19" s="1" t="s">
        <v>48</v>
      </c>
    </row>
    <row r="20" spans="1:24" x14ac:dyDescent="0.25">
      <c r="A20" t="s">
        <v>11</v>
      </c>
      <c r="B20" t="s">
        <v>12</v>
      </c>
      <c r="C20" t="s">
        <v>13</v>
      </c>
      <c r="D20" t="s">
        <v>14</v>
      </c>
      <c r="E20" t="s">
        <v>16</v>
      </c>
      <c r="F20" t="s">
        <v>17</v>
      </c>
      <c r="H20" t="s">
        <v>11</v>
      </c>
      <c r="I20" t="s">
        <v>12</v>
      </c>
      <c r="J20" t="s">
        <v>23</v>
      </c>
      <c r="K20" t="s">
        <v>39</v>
      </c>
      <c r="L20" t="s">
        <v>13</v>
      </c>
      <c r="N20" t="s">
        <v>11</v>
      </c>
      <c r="O20" t="s">
        <v>12</v>
      </c>
      <c r="P20" t="s">
        <v>26</v>
      </c>
      <c r="Q20" t="s">
        <v>33</v>
      </c>
      <c r="R20" t="s">
        <v>14</v>
      </c>
      <c r="T20" t="s">
        <v>11</v>
      </c>
      <c r="U20" t="s">
        <v>12</v>
      </c>
      <c r="V20" t="s">
        <v>28</v>
      </c>
      <c r="W20" t="s">
        <v>43</v>
      </c>
      <c r="X20" t="s">
        <v>16</v>
      </c>
    </row>
    <row r="21" spans="1:24" x14ac:dyDescent="0.25">
      <c r="A21" s="53" t="s">
        <v>20</v>
      </c>
      <c r="B21" t="str">
        <f>"Hall, Dominic (185138)"</f>
        <v>Hall, Dominic (185138)</v>
      </c>
      <c r="C21" t="str">
        <f>"171 - 1"</f>
        <v>171 - 1</v>
      </c>
      <c r="D21" t="str">
        <f>"152 - 2"</f>
        <v>152 - 2</v>
      </c>
      <c r="E21" t="str">
        <f>"167 - 1"</f>
        <v>167 - 1</v>
      </c>
      <c r="F21" t="str">
        <f>"490 - 4"</f>
        <v>490 - 4</v>
      </c>
      <c r="H21" s="53" t="str">
        <f>"1"</f>
        <v>1</v>
      </c>
      <c r="I21" t="str">
        <f>"Elmhorst, Emily (257186)"</f>
        <v>Elmhorst, Emily (257186)</v>
      </c>
      <c r="J21" t="str">
        <f>"92 - 2"</f>
        <v>92 - 2</v>
      </c>
      <c r="K21" t="str">
        <f>"94 - 4"</f>
        <v>94 - 4</v>
      </c>
      <c r="L21" t="str">
        <f>"186 - 6"</f>
        <v>186 - 6</v>
      </c>
      <c r="N21" s="53" t="str">
        <f>"1"</f>
        <v>1</v>
      </c>
      <c r="O21" t="str">
        <f>"Hall, Dominic (185138)"</f>
        <v>Hall, Dominic (185138)</v>
      </c>
      <c r="P21" t="str">
        <f>"77 - 1"</f>
        <v>77 - 1</v>
      </c>
      <c r="Q21" t="str">
        <f>"75 - 1"</f>
        <v>75 - 1</v>
      </c>
      <c r="R21" t="str">
        <f>"152 - 2"</f>
        <v>152 - 2</v>
      </c>
      <c r="T21" s="53" t="str">
        <f>"1"</f>
        <v>1</v>
      </c>
      <c r="U21" t="str">
        <f>"Hall, Dominic (185138)"</f>
        <v>Hall, Dominic (185138)</v>
      </c>
      <c r="V21" t="str">
        <f>"79 - 0"</f>
        <v>79 - 0</v>
      </c>
      <c r="W21" t="str">
        <f>"88 - 1"</f>
        <v>88 - 1</v>
      </c>
      <c r="X21" t="str">
        <f>"167 - 1"</f>
        <v>167 - 1</v>
      </c>
    </row>
    <row r="22" spans="1:24" x14ac:dyDescent="0.25">
      <c r="A22" s="53" t="s">
        <v>21</v>
      </c>
      <c r="B22" t="str">
        <f>"Elmhorst, Emily (257186)"</f>
        <v>Elmhorst, Emily (257186)</v>
      </c>
      <c r="C22" t="str">
        <f>"186 - 6"</f>
        <v>186 - 6</v>
      </c>
      <c r="D22" t="str">
        <f>"127 - 0"</f>
        <v>127 - 0</v>
      </c>
      <c r="E22" t="str">
        <f>"166 - 4"</f>
        <v>166 - 4</v>
      </c>
      <c r="F22" t="str">
        <f>"479 - 10"</f>
        <v>479 - 10</v>
      </c>
      <c r="H22" s="53" t="str">
        <f>"2"</f>
        <v>2</v>
      </c>
      <c r="I22" t="str">
        <f>"Hall, Christian (185140)"</f>
        <v>Hall, Christian (185140)</v>
      </c>
      <c r="J22" t="str">
        <f>"92 - 2"</f>
        <v>92 - 2</v>
      </c>
      <c r="K22" t="str">
        <f>"91 - 1"</f>
        <v>91 - 1</v>
      </c>
      <c r="L22" t="str">
        <f>"183 - 3"</f>
        <v>183 - 3</v>
      </c>
      <c r="N22" s="53" t="str">
        <f>"2"</f>
        <v>2</v>
      </c>
      <c r="O22" t="str">
        <f>"Aschebrook, Olivia (282756)"</f>
        <v>Aschebrook, Olivia (282756)</v>
      </c>
      <c r="P22" t="str">
        <f>"73 - 0"</f>
        <v>73 - 0</v>
      </c>
      <c r="Q22" t="str">
        <f>"77 - 1"</f>
        <v>77 - 1</v>
      </c>
      <c r="R22" t="str">
        <f>"150 - 1"</f>
        <v>150 - 1</v>
      </c>
      <c r="T22" s="53" t="str">
        <f>"2"</f>
        <v>2</v>
      </c>
      <c r="U22" t="str">
        <f>"Elmhorst, Emily (257186)"</f>
        <v>Elmhorst, Emily (257186)</v>
      </c>
      <c r="V22" t="str">
        <f>"81 - 3"</f>
        <v>81 - 3</v>
      </c>
      <c r="W22" t="str">
        <f>"85 - 1"</f>
        <v>85 - 1</v>
      </c>
      <c r="X22" t="str">
        <f>"166 - 4"</f>
        <v>166 - 4</v>
      </c>
    </row>
    <row r="23" spans="1:24" x14ac:dyDescent="0.25">
      <c r="A23" s="53">
        <v>1</v>
      </c>
      <c r="B23" t="str">
        <f>"Hager, Rachel (257189)"</f>
        <v>Hager, Rachel (257189)</v>
      </c>
      <c r="C23" t="str">
        <f>"176 - 5"</f>
        <v>176 - 5</v>
      </c>
      <c r="D23" t="str">
        <f>"118 - 0"</f>
        <v>118 - 0</v>
      </c>
      <c r="E23" t="str">
        <f>"165 - 3"</f>
        <v>165 - 3</v>
      </c>
      <c r="F23" t="str">
        <f>"459 - 8"</f>
        <v>459 - 8</v>
      </c>
      <c r="H23" s="53" t="str">
        <f>"3"</f>
        <v>3</v>
      </c>
      <c r="I23" t="str">
        <f>"Aschebrook, Olivia (282756)"</f>
        <v>Aschebrook, Olivia (282756)</v>
      </c>
      <c r="J23" t="str">
        <f>"90 - 2"</f>
        <v>90 - 2</v>
      </c>
      <c r="K23" t="str">
        <f>"88 - 1"</f>
        <v>88 - 1</v>
      </c>
      <c r="L23" t="str">
        <f>"178 - 3"</f>
        <v>178 - 3</v>
      </c>
      <c r="N23" s="53" t="str">
        <f>"3"</f>
        <v>3</v>
      </c>
      <c r="O23" t="str">
        <f>"Elmhorst, Emily (257186)"</f>
        <v>Elmhorst, Emily (257186)</v>
      </c>
      <c r="P23" t="str">
        <f>"65 - 0"</f>
        <v>65 - 0</v>
      </c>
      <c r="Q23" t="str">
        <f>"62 - 0"</f>
        <v>62 - 0</v>
      </c>
      <c r="R23" t="str">
        <f>"127 - 0"</f>
        <v>127 - 0</v>
      </c>
      <c r="T23" s="53" t="str">
        <f>"3"</f>
        <v>3</v>
      </c>
      <c r="U23" t="str">
        <f>"Hager, Rachel (257189)"</f>
        <v>Hager, Rachel (257189)</v>
      </c>
      <c r="V23" t="str">
        <f>"81 - 1"</f>
        <v>81 - 1</v>
      </c>
      <c r="W23" t="str">
        <f>"84 - 2"</f>
        <v>84 - 2</v>
      </c>
      <c r="X23" t="str">
        <f>"165 - 3"</f>
        <v>165 - 3</v>
      </c>
    </row>
    <row r="24" spans="1:24" x14ac:dyDescent="0.25">
      <c r="A24" s="53"/>
      <c r="B24" t="str">
        <f>"Aschebrook, Olivia (282756)"</f>
        <v>Aschebrook, Olivia (282756)</v>
      </c>
      <c r="C24" t="str">
        <f>"178 - 3"</f>
        <v>178 - 3</v>
      </c>
      <c r="D24" t="str">
        <f>"150 - 1"</f>
        <v>150 - 1</v>
      </c>
      <c r="E24" t="str">
        <f>"125 - 0"</f>
        <v>125 - 0</v>
      </c>
      <c r="F24" t="str">
        <f>"453 - 4"</f>
        <v>453 - 4</v>
      </c>
      <c r="H24" s="53"/>
      <c r="I24" t="str">
        <f>"Hager, Rachel (257189)"</f>
        <v>Hager, Rachel (257189)</v>
      </c>
      <c r="J24" t="str">
        <f>"92 - 4"</f>
        <v>92 - 4</v>
      </c>
      <c r="K24" t="str">
        <f>"84 - 1"</f>
        <v>84 - 1</v>
      </c>
      <c r="L24" t="str">
        <f>"176 - 5"</f>
        <v>176 - 5</v>
      </c>
      <c r="N24" s="53"/>
      <c r="O24" t="str">
        <f>"Hager, Rachel (257189)"</f>
        <v>Hager, Rachel (257189)</v>
      </c>
      <c r="P24" t="str">
        <f>"66 - 0"</f>
        <v>66 - 0</v>
      </c>
      <c r="Q24" t="str">
        <f>"52 - 0"</f>
        <v>52 - 0</v>
      </c>
      <c r="R24" t="str">
        <f>"118 - 0"</f>
        <v>118 - 0</v>
      </c>
      <c r="T24" s="53"/>
      <c r="U24" t="str">
        <f>"Hall, Christian (185140)"</f>
        <v>Hall, Christian (185140)</v>
      </c>
      <c r="V24" t="str">
        <f>"81 - 1"</f>
        <v>81 - 1</v>
      </c>
      <c r="W24" t="str">
        <f>"71 - 0"</f>
        <v>71 - 0</v>
      </c>
      <c r="X24" t="str">
        <f>"152 - 1"</f>
        <v>152 - 1</v>
      </c>
    </row>
    <row r="25" spans="1:24" x14ac:dyDescent="0.25">
      <c r="A25" s="53"/>
      <c r="B25" t="str">
        <f>"Hall, Christian (185140)"</f>
        <v>Hall, Christian (185140)</v>
      </c>
      <c r="C25" t="str">
        <f>"183 - 3"</f>
        <v>183 - 3</v>
      </c>
      <c r="D25" t="str">
        <f>"108 - 1"</f>
        <v>108 - 1</v>
      </c>
      <c r="E25" t="str">
        <f>"152 - 1"</f>
        <v>152 - 1</v>
      </c>
      <c r="F25" t="str">
        <f>"443 - 5"</f>
        <v>443 - 5</v>
      </c>
      <c r="H25" s="53"/>
      <c r="I25" t="str">
        <f>"Hall, Dominic (185138)"</f>
        <v>Hall, Dominic (185138)</v>
      </c>
      <c r="J25" t="str">
        <f>"92 - 1"</f>
        <v>92 - 1</v>
      </c>
      <c r="K25" t="str">
        <f>"79 - 0"</f>
        <v>79 - 0</v>
      </c>
      <c r="L25" t="str">
        <f>"171 - 1"</f>
        <v>171 - 1</v>
      </c>
      <c r="N25" s="53"/>
      <c r="O25" t="str">
        <f>"Hall, Christian (185140)"</f>
        <v>Hall, Christian (185140)</v>
      </c>
      <c r="P25" t="str">
        <f>"50 - 1"</f>
        <v>50 - 1</v>
      </c>
      <c r="Q25" t="str">
        <f>"58 - 0"</f>
        <v>58 - 0</v>
      </c>
      <c r="R25" t="str">
        <f>"108 - 1"</f>
        <v>108 - 1</v>
      </c>
      <c r="T25" s="53"/>
      <c r="U25" t="str">
        <f>"Aschebrook, Olivia (282756)"</f>
        <v>Aschebrook, Olivia (282756)</v>
      </c>
      <c r="V25" t="str">
        <f>"63 - 0"</f>
        <v>63 - 0</v>
      </c>
      <c r="W25" t="str">
        <f>"62 - 0"</f>
        <v>62 - 0</v>
      </c>
      <c r="X25" t="str">
        <f>"125 - 0"</f>
        <v>125 - 0</v>
      </c>
    </row>
    <row r="27" spans="1:24" x14ac:dyDescent="0.25">
      <c r="A27" s="1" t="s">
        <v>49</v>
      </c>
    </row>
    <row r="28" spans="1:24" x14ac:dyDescent="0.25">
      <c r="A28" t="s">
        <v>11</v>
      </c>
      <c r="B28" t="s">
        <v>12</v>
      </c>
      <c r="C28" t="s">
        <v>13</v>
      </c>
      <c r="D28" t="s">
        <v>14</v>
      </c>
      <c r="E28" t="s">
        <v>16</v>
      </c>
      <c r="F28" t="s">
        <v>17</v>
      </c>
      <c r="H28" t="s">
        <v>11</v>
      </c>
      <c r="I28" t="s">
        <v>12</v>
      </c>
      <c r="J28" t="s">
        <v>23</v>
      </c>
      <c r="K28" t="s">
        <v>39</v>
      </c>
      <c r="L28" t="s">
        <v>13</v>
      </c>
      <c r="N28" t="s">
        <v>11</v>
      </c>
      <c r="O28" t="s">
        <v>12</v>
      </c>
      <c r="P28" t="s">
        <v>26</v>
      </c>
      <c r="Q28" t="s">
        <v>33</v>
      </c>
      <c r="R28" t="s">
        <v>14</v>
      </c>
      <c r="T28" t="s">
        <v>11</v>
      </c>
      <c r="U28" t="s">
        <v>12</v>
      </c>
      <c r="V28" t="s">
        <v>28</v>
      </c>
      <c r="W28" t="s">
        <v>43</v>
      </c>
      <c r="X28" t="s">
        <v>16</v>
      </c>
    </row>
    <row r="29" spans="1:24" x14ac:dyDescent="0.25">
      <c r="A29" s="53" t="s">
        <v>19</v>
      </c>
      <c r="B29" t="str">
        <f>"Muckler, Eli (283138)"</f>
        <v>Muckler, Eli (283138)</v>
      </c>
      <c r="C29" t="str">
        <f>"183 - 4"</f>
        <v>183 - 4</v>
      </c>
      <c r="D29" t="str">
        <f>"131 - 1"</f>
        <v>131 - 1</v>
      </c>
      <c r="E29" t="str">
        <f>"169 - 3"</f>
        <v>169 - 3</v>
      </c>
      <c r="F29" t="str">
        <f>"483 - 8"</f>
        <v>483 - 8</v>
      </c>
      <c r="H29" s="53" t="str">
        <f>"1"</f>
        <v>1</v>
      </c>
      <c r="I29" t="str">
        <f>"Muckler, Eli (283138)"</f>
        <v>Muckler, Eli (283138)</v>
      </c>
      <c r="J29" t="str">
        <f>"91 - 2"</f>
        <v>91 - 2</v>
      </c>
      <c r="K29" t="str">
        <f>"92 - 2"</f>
        <v>92 - 2</v>
      </c>
      <c r="L29" t="str">
        <f>"183 - 4"</f>
        <v>183 - 4</v>
      </c>
      <c r="N29" s="53" t="str">
        <f>"1"</f>
        <v>1</v>
      </c>
      <c r="O29" t="str">
        <f>"Bednarek, Brady (256774)"</f>
        <v>Bednarek, Brady (256774)</v>
      </c>
      <c r="P29" t="str">
        <f>"70 - 1"</f>
        <v>70 - 1</v>
      </c>
      <c r="Q29" t="str">
        <f>"72 - 0"</f>
        <v>72 - 0</v>
      </c>
      <c r="R29" t="str">
        <f>"142 - 1"</f>
        <v>142 - 1</v>
      </c>
      <c r="T29" s="53" t="str">
        <f>"1"</f>
        <v>1</v>
      </c>
      <c r="U29" t="str">
        <f>"Muckler, Eli (283138)"</f>
        <v>Muckler, Eli (283138)</v>
      </c>
      <c r="V29" t="str">
        <f>"83 - 1"</f>
        <v>83 - 1</v>
      </c>
      <c r="W29" t="str">
        <f>"86 - 2"</f>
        <v>86 - 2</v>
      </c>
      <c r="X29" t="str">
        <f>"169 - 3"</f>
        <v>169 - 3</v>
      </c>
    </row>
    <row r="30" spans="1:24" x14ac:dyDescent="0.25">
      <c r="A30" s="53">
        <v>1</v>
      </c>
      <c r="B30" t="str">
        <f>"Bednarek, Brady (256774)"</f>
        <v>Bednarek, Brady (256774)</v>
      </c>
      <c r="C30" t="str">
        <f>"166 - 1"</f>
        <v>166 - 1</v>
      </c>
      <c r="D30" t="str">
        <f>"142 - 1"</f>
        <v>142 - 1</v>
      </c>
      <c r="E30" t="str">
        <f>"157 - 0"</f>
        <v>157 - 0</v>
      </c>
      <c r="F30" t="str">
        <f>"465 - 2"</f>
        <v>465 - 2</v>
      </c>
      <c r="H30" s="53" t="str">
        <f>"2"</f>
        <v>2</v>
      </c>
      <c r="I30" t="str">
        <f>"Malphy, Brock (280090)"</f>
        <v>Malphy, Brock (280090)</v>
      </c>
      <c r="J30" t="str">
        <f>"84 - 1"</f>
        <v>84 - 1</v>
      </c>
      <c r="K30" t="str">
        <f>"91 - 3"</f>
        <v>91 - 3</v>
      </c>
      <c r="L30" t="str">
        <f>"175 - 4"</f>
        <v>175 - 4</v>
      </c>
      <c r="N30" s="53" t="str">
        <f>"2"</f>
        <v>2</v>
      </c>
      <c r="O30" t="str">
        <f>"Lewis, Alexia (313265)"</f>
        <v>Lewis, Alexia (313265)</v>
      </c>
      <c r="P30" t="str">
        <f>"71 - 1"</f>
        <v>71 - 1</v>
      </c>
      <c r="Q30" t="str">
        <f>"67 - 0"</f>
        <v>67 - 0</v>
      </c>
      <c r="R30" t="str">
        <f>"138 - 1"</f>
        <v>138 - 1</v>
      </c>
      <c r="T30" s="53" t="str">
        <f>"2"</f>
        <v>2</v>
      </c>
      <c r="U30" t="str">
        <f>"Malphy, Brock (280090)"</f>
        <v>Malphy, Brock (280090)</v>
      </c>
      <c r="V30" t="str">
        <f>"87 - 2"</f>
        <v>87 - 2</v>
      </c>
      <c r="W30" t="str">
        <f>"75 - 1"</f>
        <v>75 - 1</v>
      </c>
      <c r="X30" t="str">
        <f>"162 - 3"</f>
        <v>162 - 3</v>
      </c>
    </row>
    <row r="31" spans="1:24" x14ac:dyDescent="0.25">
      <c r="A31" s="53">
        <v>2</v>
      </c>
      <c r="B31" t="str">
        <f>"Lewis, Alexia (313265)"</f>
        <v>Lewis, Alexia (313265)</v>
      </c>
      <c r="C31" t="str">
        <f>"168 - 2"</f>
        <v>168 - 2</v>
      </c>
      <c r="D31" t="str">
        <f>"138 - 1"</f>
        <v>138 - 1</v>
      </c>
      <c r="E31" t="str">
        <f>"148 - 1"</f>
        <v>148 - 1</v>
      </c>
      <c r="F31" t="str">
        <f>"454 - 4"</f>
        <v>454 - 4</v>
      </c>
      <c r="H31" s="53" t="str">
        <f>"3"</f>
        <v>3</v>
      </c>
      <c r="I31" t="str">
        <f>"Lewis, Alexia (313265)"</f>
        <v>Lewis, Alexia (313265)</v>
      </c>
      <c r="J31" t="str">
        <f>"84 - 2"</f>
        <v>84 - 2</v>
      </c>
      <c r="K31" t="str">
        <f>"84 - 0"</f>
        <v>84 - 0</v>
      </c>
      <c r="L31" t="str">
        <f>"168 - 2"</f>
        <v>168 - 2</v>
      </c>
      <c r="N31" s="53" t="str">
        <f>"3"</f>
        <v>3</v>
      </c>
      <c r="O31" t="str">
        <f>"Muckler, Eli (283138)"</f>
        <v>Muckler, Eli (283138)</v>
      </c>
      <c r="P31" t="str">
        <f>"62 - 0"</f>
        <v>62 - 0</v>
      </c>
      <c r="Q31" t="str">
        <f>"69 - 1"</f>
        <v>69 - 1</v>
      </c>
      <c r="R31" t="str">
        <f>"131 - 1"</f>
        <v>131 - 1</v>
      </c>
      <c r="T31" s="53" t="str">
        <f>"3"</f>
        <v>3</v>
      </c>
      <c r="U31" t="str">
        <f>"Bednarek, Brady (256774)"</f>
        <v>Bednarek, Brady (256774)</v>
      </c>
      <c r="V31" t="str">
        <f>"80 - 0"</f>
        <v>80 - 0</v>
      </c>
      <c r="W31" t="str">
        <f>"77 - 0"</f>
        <v>77 - 0</v>
      </c>
      <c r="X31" t="str">
        <f>"157 - 0"</f>
        <v>157 - 0</v>
      </c>
    </row>
    <row r="32" spans="1:24" x14ac:dyDescent="0.25">
      <c r="A32" s="53">
        <v>3</v>
      </c>
      <c r="B32" t="str">
        <f>"Malphy, Brock (280090)"</f>
        <v>Malphy, Brock (280090)</v>
      </c>
      <c r="C32" t="str">
        <f>"175 - 4"</f>
        <v>175 - 4</v>
      </c>
      <c r="D32" t="str">
        <f>"89 - 0"</f>
        <v>89 - 0</v>
      </c>
      <c r="E32" t="str">
        <f>"162 - 3"</f>
        <v>162 - 3</v>
      </c>
      <c r="F32" t="str">
        <f>"426 - 7"</f>
        <v>426 - 7</v>
      </c>
      <c r="H32" s="53"/>
      <c r="I32" t="str">
        <f>"Bednarek, Brady (256774)"</f>
        <v>Bednarek, Brady (256774)</v>
      </c>
      <c r="J32" t="str">
        <f>"81 - 1"</f>
        <v>81 - 1</v>
      </c>
      <c r="K32" t="str">
        <f>"85 - 0"</f>
        <v>85 - 0</v>
      </c>
      <c r="L32" t="str">
        <f>"166 - 1"</f>
        <v>166 - 1</v>
      </c>
      <c r="N32" s="53"/>
      <c r="O32" t="str">
        <f>"Lee, James (316988)"</f>
        <v>Lee, James (316988)</v>
      </c>
      <c r="P32" t="str">
        <f>"48 - 0"</f>
        <v>48 - 0</v>
      </c>
      <c r="Q32" t="str">
        <f>"49 - 0"</f>
        <v>49 - 0</v>
      </c>
      <c r="R32" t="str">
        <f>"97 - 0"</f>
        <v>97 - 0</v>
      </c>
      <c r="T32" s="53"/>
      <c r="U32" t="str">
        <f>"Lewis, Alexia (313265)"</f>
        <v>Lewis, Alexia (313265)</v>
      </c>
      <c r="V32" t="str">
        <f>"75 - 1"</f>
        <v>75 - 1</v>
      </c>
      <c r="W32" t="str">
        <f>"73 - 0"</f>
        <v>73 - 0</v>
      </c>
      <c r="X32" t="str">
        <f>"148 - 1"</f>
        <v>148 - 1</v>
      </c>
    </row>
    <row r="33" spans="1:24" x14ac:dyDescent="0.25">
      <c r="A33" s="53"/>
      <c r="B33" t="str">
        <f>"Lee, James (316988)"</f>
        <v>Lee, James (316988)</v>
      </c>
      <c r="C33" t="str">
        <f>"157 - 1"</f>
        <v>157 - 1</v>
      </c>
      <c r="D33" t="str">
        <f>"97 - 0"</f>
        <v>97 - 0</v>
      </c>
      <c r="E33" t="str">
        <f>"131 - 0"</f>
        <v>131 - 0</v>
      </c>
      <c r="F33" t="str">
        <f>"385 - 1"</f>
        <v>385 - 1</v>
      </c>
      <c r="H33" s="53"/>
      <c r="I33" t="str">
        <f>"Lee, James (316988)"</f>
        <v>Lee, James (316988)</v>
      </c>
      <c r="J33" t="str">
        <f>"78 - 0"</f>
        <v>78 - 0</v>
      </c>
      <c r="K33" t="str">
        <f>"79 - 1"</f>
        <v>79 - 1</v>
      </c>
      <c r="L33" t="str">
        <f>"157 - 1"</f>
        <v>157 - 1</v>
      </c>
      <c r="N33" s="53"/>
      <c r="O33" t="str">
        <f>"Malphy, Brock (280090)"</f>
        <v>Malphy, Brock (280090)</v>
      </c>
      <c r="P33" t="str">
        <f>"36 - 0"</f>
        <v>36 - 0</v>
      </c>
      <c r="Q33" t="str">
        <f>"53 - 0"</f>
        <v>53 - 0</v>
      </c>
      <c r="R33" t="str">
        <f>"89 - 0"</f>
        <v>89 - 0</v>
      </c>
      <c r="T33" s="53"/>
      <c r="U33" t="str">
        <f>"Lee, James (316988)"</f>
        <v>Lee, James (316988)</v>
      </c>
      <c r="V33" t="str">
        <f>"76 - 0"</f>
        <v>76 - 0</v>
      </c>
      <c r="W33" t="str">
        <f>"55 - 0"</f>
        <v>55 - 0</v>
      </c>
      <c r="X33" t="str">
        <f>"131 - 0"</f>
        <v>131 - 0</v>
      </c>
    </row>
    <row r="34" spans="1:24" x14ac:dyDescent="0.25">
      <c r="A34" s="53"/>
      <c r="B34" t="str">
        <f>"Hager, Michael (342133)"</f>
        <v>Hager, Michael (342133)</v>
      </c>
      <c r="C34" t="str">
        <f>"147 - 1"</f>
        <v>147 - 1</v>
      </c>
      <c r="D34" t="str">
        <f>"33 - 0"</f>
        <v>33 - 0</v>
      </c>
      <c r="E34" t="str">
        <f>"73 - 0"</f>
        <v>73 - 0</v>
      </c>
      <c r="F34" t="str">
        <f>"253 - 1"</f>
        <v>253 - 1</v>
      </c>
      <c r="H34" s="53"/>
      <c r="I34" t="str">
        <f>"Hager, Michael (342133)"</f>
        <v>Hager, Michael (342133)</v>
      </c>
      <c r="J34" t="str">
        <f>"77 - 0"</f>
        <v>77 - 0</v>
      </c>
      <c r="K34" t="str">
        <f>"70 - 1"</f>
        <v>70 - 1</v>
      </c>
      <c r="L34" t="str">
        <f>"147 - 1"</f>
        <v>147 - 1</v>
      </c>
      <c r="N34" s="53"/>
      <c r="O34" t="str">
        <f>"Hager, Michael (342133)"</f>
        <v>Hager, Michael (342133)</v>
      </c>
      <c r="P34" t="str">
        <f>"19 - 0"</f>
        <v>19 - 0</v>
      </c>
      <c r="Q34" t="str">
        <f>"14 - 0"</f>
        <v>14 - 0</v>
      </c>
      <c r="R34" t="str">
        <f>"33 - 0"</f>
        <v>33 - 0</v>
      </c>
      <c r="T34" s="53"/>
      <c r="U34" t="str">
        <f>"Hager, Michael (342133)"</f>
        <v>Hager, Michael (342133)</v>
      </c>
      <c r="V34" t="str">
        <f>"44 - 0"</f>
        <v>44 - 0</v>
      </c>
      <c r="W34" t="str">
        <f>"29 - 0"</f>
        <v>29 - 0</v>
      </c>
      <c r="X34" t="str">
        <f>"73 - 0"</f>
        <v>73 - 0</v>
      </c>
    </row>
    <row r="36" spans="1:24" x14ac:dyDescent="0.25">
      <c r="A36" s="1" t="s">
        <v>50</v>
      </c>
    </row>
    <row r="37" spans="1:24" x14ac:dyDescent="0.25">
      <c r="A37" t="s">
        <v>11</v>
      </c>
      <c r="B37" t="s">
        <v>12</v>
      </c>
      <c r="C37" t="s">
        <v>13</v>
      </c>
      <c r="D37" t="s">
        <v>14</v>
      </c>
      <c r="E37" t="s">
        <v>16</v>
      </c>
      <c r="F37" t="s">
        <v>17</v>
      </c>
      <c r="H37" t="s">
        <v>11</v>
      </c>
      <c r="I37" t="s">
        <v>12</v>
      </c>
      <c r="J37" t="s">
        <v>23</v>
      </c>
      <c r="K37" t="s">
        <v>39</v>
      </c>
      <c r="L37" t="s">
        <v>13</v>
      </c>
      <c r="N37" t="s">
        <v>11</v>
      </c>
      <c r="O37" t="s">
        <v>12</v>
      </c>
      <c r="P37" t="s">
        <v>26</v>
      </c>
      <c r="Q37" t="s">
        <v>33</v>
      </c>
      <c r="R37" t="s">
        <v>14</v>
      </c>
      <c r="T37" t="s">
        <v>11</v>
      </c>
      <c r="U37" t="s">
        <v>12</v>
      </c>
      <c r="V37" t="s">
        <v>28</v>
      </c>
      <c r="W37" t="s">
        <v>43</v>
      </c>
      <c r="X37" t="s">
        <v>16</v>
      </c>
    </row>
    <row r="38" spans="1:24" x14ac:dyDescent="0.25">
      <c r="A38" s="53" t="str">
        <f>"1"</f>
        <v>1</v>
      </c>
      <c r="B38" t="str">
        <f>"Malphy, Jake (337349)"</f>
        <v>Malphy, Jake (337349)</v>
      </c>
      <c r="C38" t="str">
        <f>"170 - 4"</f>
        <v>170 - 4</v>
      </c>
      <c r="D38" t="str">
        <f>"81 - 0"</f>
        <v>81 - 0</v>
      </c>
      <c r="E38" t="str">
        <f>"133 - 1"</f>
        <v>133 - 1</v>
      </c>
      <c r="F38" t="str">
        <f>"384 - 5"</f>
        <v>384 - 5</v>
      </c>
      <c r="H38" s="53" t="str">
        <f>"1"</f>
        <v>1</v>
      </c>
      <c r="I38" t="str">
        <f>"Malphy, Jake (337349)"</f>
        <v>Malphy, Jake (337349)</v>
      </c>
      <c r="J38" t="str">
        <f>"88 - 2"</f>
        <v>88 - 2</v>
      </c>
      <c r="K38" t="str">
        <f>"82 - 2"</f>
        <v>82 - 2</v>
      </c>
      <c r="L38" t="str">
        <f>"170 - 4"</f>
        <v>170 - 4</v>
      </c>
      <c r="N38" s="53" t="str">
        <f>"1"</f>
        <v>1</v>
      </c>
      <c r="O38" t="str">
        <f>"Malphy, Jake (337349)"</f>
        <v>Malphy, Jake (337349)</v>
      </c>
      <c r="P38" t="str">
        <f>"48 - 0"</f>
        <v>48 - 0</v>
      </c>
      <c r="Q38" t="str">
        <f>"33 - 0"</f>
        <v>33 - 0</v>
      </c>
      <c r="R38" t="str">
        <f>"81 - 0"</f>
        <v>81 - 0</v>
      </c>
      <c r="T38" s="53" t="str">
        <f>"1"</f>
        <v>1</v>
      </c>
      <c r="U38" t="str">
        <f>"Malphy, Jake (337349)"</f>
        <v>Malphy, Jake (337349)</v>
      </c>
      <c r="V38" t="str">
        <f>"64 - 0"</f>
        <v>64 - 0</v>
      </c>
      <c r="W38" t="str">
        <f>"69 - 1"</f>
        <v>69 - 1</v>
      </c>
      <c r="X38" t="str">
        <f>"133 - 1"</f>
        <v>133 - 1</v>
      </c>
    </row>
    <row r="39" spans="1:24" x14ac:dyDescent="0.25">
      <c r="A39" s="53"/>
      <c r="B39" t="str">
        <f>"Krueger, Joel (391147)"</f>
        <v>Krueger, Joel (391147)</v>
      </c>
      <c r="C39" t="str">
        <f>"134 - 0"</f>
        <v>134 - 0</v>
      </c>
      <c r="D39" t="str">
        <f>"46 - 0"</f>
        <v>46 - 0</v>
      </c>
      <c r="E39" t="str">
        <f>"35 - 0"</f>
        <v>35 - 0</v>
      </c>
      <c r="F39" t="str">
        <f>"215 - 0"</f>
        <v>215 - 0</v>
      </c>
      <c r="H39" s="53" t="str">
        <f>"2"</f>
        <v>2</v>
      </c>
      <c r="I39" t="str">
        <f>"Krueger, Joel (391147)"</f>
        <v>Krueger, Joel (391147)</v>
      </c>
      <c r="J39" t="str">
        <f>"73 - 0"</f>
        <v>73 - 0</v>
      </c>
      <c r="K39" t="str">
        <f>"61 - 0"</f>
        <v>61 - 0</v>
      </c>
      <c r="L39" t="str">
        <f>"134 - 0"</f>
        <v>134 - 0</v>
      </c>
      <c r="N39" s="53" t="str">
        <f>"2"</f>
        <v>2</v>
      </c>
      <c r="O39" t="str">
        <f>"Krueger, Joel (391147)"</f>
        <v>Krueger, Joel (391147)</v>
      </c>
      <c r="P39" t="str">
        <f>"13 - 0"</f>
        <v>13 - 0</v>
      </c>
      <c r="Q39" t="str">
        <f>"33 - 0"</f>
        <v>33 - 0</v>
      </c>
      <c r="R39" t="str">
        <f>"46 - 0"</f>
        <v>46 - 0</v>
      </c>
      <c r="T39" s="53" t="str">
        <f>"2"</f>
        <v>2</v>
      </c>
      <c r="U39" t="str">
        <f>"Krueger, Joel (391147)"</f>
        <v>Krueger, Joel (391147)</v>
      </c>
      <c r="V39" t="str">
        <f>"31 - 0"</f>
        <v>31 - 0</v>
      </c>
      <c r="W39" t="str">
        <f>"4 - 0"</f>
        <v>4 - 0</v>
      </c>
      <c r="X39" t="str">
        <f>"35 - 0"</f>
        <v>35 - 0</v>
      </c>
    </row>
    <row r="42" spans="1:24" ht="18.75" x14ac:dyDescent="0.3">
      <c r="B42" s="56" t="s">
        <v>51</v>
      </c>
      <c r="C42" s="56"/>
      <c r="D42" s="56"/>
    </row>
    <row r="43" spans="1:24" x14ac:dyDescent="0.25">
      <c r="A43" s="1" t="s">
        <v>48</v>
      </c>
    </row>
    <row r="44" spans="1:24" x14ac:dyDescent="0.25">
      <c r="A44" t="s">
        <v>11</v>
      </c>
      <c r="B44" t="s">
        <v>12</v>
      </c>
      <c r="C44" t="s">
        <v>13</v>
      </c>
      <c r="D44" t="s">
        <v>14</v>
      </c>
      <c r="E44" t="s">
        <v>16</v>
      </c>
      <c r="F44" t="s">
        <v>17</v>
      </c>
    </row>
    <row r="45" spans="1:24" x14ac:dyDescent="0.25">
      <c r="A45" t="str">
        <f>"1"</f>
        <v>1</v>
      </c>
      <c r="B45" t="str">
        <f>"Aschebrook, Olivia (282756)"</f>
        <v>Aschebrook, Olivia (282756)</v>
      </c>
      <c r="C45" t="str">
        <f>"190 - 8"</f>
        <v>190 - 8</v>
      </c>
      <c r="D45" t="str">
        <f>"156 - 0"</f>
        <v>156 - 0</v>
      </c>
      <c r="E45" t="str">
        <f>"179 - 3"</f>
        <v>179 - 3</v>
      </c>
      <c r="F45" t="str">
        <f>"525 - 11"</f>
        <v>525 - 11</v>
      </c>
    </row>
    <row r="47" spans="1:24" ht="18.75" x14ac:dyDescent="0.3">
      <c r="B47" s="56" t="s">
        <v>13</v>
      </c>
      <c r="C47" s="56"/>
      <c r="D47" s="56"/>
    </row>
    <row r="48" spans="1:24" x14ac:dyDescent="0.25">
      <c r="A48" t="s">
        <v>11</v>
      </c>
      <c r="B48" t="s">
        <v>12</v>
      </c>
      <c r="C48" t="s">
        <v>23</v>
      </c>
      <c r="D48" t="s">
        <v>39</v>
      </c>
      <c r="E48" t="s">
        <v>13</v>
      </c>
    </row>
    <row r="49" spans="1:5" x14ac:dyDescent="0.25">
      <c r="A49" t="str">
        <f>"1"</f>
        <v>1</v>
      </c>
      <c r="B49" t="str">
        <f>"Aschebrook, Olivia (282756)"</f>
        <v>Aschebrook, Olivia (282756)</v>
      </c>
      <c r="C49" t="str">
        <f>"97 - 5"</f>
        <v>97 - 5</v>
      </c>
      <c r="D49" t="str">
        <f>"93 - 3"</f>
        <v>93 - 3</v>
      </c>
      <c r="E49" t="str">
        <f>"190 - 8"</f>
        <v>190 - 8</v>
      </c>
    </row>
    <row r="51" spans="1:5" ht="18.75" x14ac:dyDescent="0.3">
      <c r="B51" s="56" t="s">
        <v>14</v>
      </c>
      <c r="C51" s="56"/>
      <c r="D51" s="56"/>
    </row>
    <row r="52" spans="1:5" x14ac:dyDescent="0.25">
      <c r="A52" t="s">
        <v>11</v>
      </c>
      <c r="B52" t="s">
        <v>12</v>
      </c>
      <c r="C52" t="s">
        <v>26</v>
      </c>
      <c r="D52" t="s">
        <v>33</v>
      </c>
      <c r="E52" t="s">
        <v>14</v>
      </c>
    </row>
    <row r="53" spans="1:5" x14ac:dyDescent="0.25">
      <c r="A53" t="str">
        <f>"1"</f>
        <v>1</v>
      </c>
      <c r="B53" t="str">
        <f>"Aschebrook, Olivia (282756)"</f>
        <v>Aschebrook, Olivia (282756)</v>
      </c>
      <c r="C53" t="str">
        <f>"78 - 0"</f>
        <v>78 - 0</v>
      </c>
      <c r="D53" t="str">
        <f>"78 - 0"</f>
        <v>78 - 0</v>
      </c>
      <c r="E53" t="str">
        <f>"156 - 0"</f>
        <v>156 - 0</v>
      </c>
    </row>
    <row r="55" spans="1:5" ht="18.75" x14ac:dyDescent="0.3">
      <c r="B55" s="56" t="s">
        <v>16</v>
      </c>
      <c r="C55" s="56"/>
      <c r="D55" s="56"/>
    </row>
    <row r="56" spans="1:5" x14ac:dyDescent="0.25">
      <c r="A56" t="s">
        <v>11</v>
      </c>
      <c r="B56" t="s">
        <v>12</v>
      </c>
      <c r="C56" t="s">
        <v>28</v>
      </c>
      <c r="D56" t="s">
        <v>43</v>
      </c>
      <c r="E56" t="s">
        <v>16</v>
      </c>
    </row>
    <row r="57" spans="1:5" x14ac:dyDescent="0.25">
      <c r="A57" t="str">
        <f>"1"</f>
        <v>1</v>
      </c>
      <c r="B57" t="str">
        <f>"Aschebrook, Olivia (282756)"</f>
        <v>Aschebrook, Olivia (282756)</v>
      </c>
      <c r="C57" t="str">
        <f>"90 - 2"</f>
        <v>90 - 2</v>
      </c>
      <c r="D57" t="str">
        <f>"89 - 1"</f>
        <v>89 - 1</v>
      </c>
      <c r="E57" t="str">
        <f>"179 - 3"</f>
        <v>179 - 3</v>
      </c>
    </row>
  </sheetData>
  <mergeCells count="9">
    <mergeCell ref="I18:K18"/>
    <mergeCell ref="O18:Q18"/>
    <mergeCell ref="U18:W18"/>
    <mergeCell ref="B42:D42"/>
    <mergeCell ref="B47:D47"/>
    <mergeCell ref="B51:D51"/>
    <mergeCell ref="B55:D55"/>
    <mergeCell ref="B1:D1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CA75-D8BB-43D8-AE39-A4961E8CF942}">
  <dimension ref="A1:G25"/>
  <sheetViews>
    <sheetView topLeftCell="A4" workbookViewId="0">
      <selection activeCell="F9" sqref="F9"/>
    </sheetView>
  </sheetViews>
  <sheetFormatPr defaultRowHeight="15" x14ac:dyDescent="0.25"/>
  <cols>
    <col min="2" max="2" width="19" customWidth="1"/>
    <col min="3" max="3" width="9.140625" style="53"/>
    <col min="6" max="6" width="17.28515625" customWidth="1"/>
    <col min="258" max="258" width="19" customWidth="1"/>
    <col min="262" max="262" width="17.28515625" customWidth="1"/>
    <col min="514" max="514" width="19" customWidth="1"/>
    <col min="518" max="518" width="17.28515625" customWidth="1"/>
    <col min="770" max="770" width="19" customWidth="1"/>
    <col min="774" max="774" width="17.28515625" customWidth="1"/>
    <col min="1026" max="1026" width="19" customWidth="1"/>
    <col min="1030" max="1030" width="17.28515625" customWidth="1"/>
    <col min="1282" max="1282" width="19" customWidth="1"/>
    <col min="1286" max="1286" width="17.28515625" customWidth="1"/>
    <col min="1538" max="1538" width="19" customWidth="1"/>
    <col min="1542" max="1542" width="17.28515625" customWidth="1"/>
    <col min="1794" max="1794" width="19" customWidth="1"/>
    <col min="1798" max="1798" width="17.28515625" customWidth="1"/>
    <col min="2050" max="2050" width="19" customWidth="1"/>
    <col min="2054" max="2054" width="17.28515625" customWidth="1"/>
    <col min="2306" max="2306" width="19" customWidth="1"/>
    <col min="2310" max="2310" width="17.28515625" customWidth="1"/>
    <col min="2562" max="2562" width="19" customWidth="1"/>
    <col min="2566" max="2566" width="17.28515625" customWidth="1"/>
    <col min="2818" max="2818" width="19" customWidth="1"/>
    <col min="2822" max="2822" width="17.28515625" customWidth="1"/>
    <col min="3074" max="3074" width="19" customWidth="1"/>
    <col min="3078" max="3078" width="17.28515625" customWidth="1"/>
    <col min="3330" max="3330" width="19" customWidth="1"/>
    <col min="3334" max="3334" width="17.28515625" customWidth="1"/>
    <col min="3586" max="3586" width="19" customWidth="1"/>
    <col min="3590" max="3590" width="17.28515625" customWidth="1"/>
    <col min="3842" max="3842" width="19" customWidth="1"/>
    <col min="3846" max="3846" width="17.28515625" customWidth="1"/>
    <col min="4098" max="4098" width="19" customWidth="1"/>
    <col min="4102" max="4102" width="17.28515625" customWidth="1"/>
    <col min="4354" max="4354" width="19" customWidth="1"/>
    <col min="4358" max="4358" width="17.28515625" customWidth="1"/>
    <col min="4610" max="4610" width="19" customWidth="1"/>
    <col min="4614" max="4614" width="17.28515625" customWidth="1"/>
    <col min="4866" max="4866" width="19" customWidth="1"/>
    <col min="4870" max="4870" width="17.28515625" customWidth="1"/>
    <col min="5122" max="5122" width="19" customWidth="1"/>
    <col min="5126" max="5126" width="17.28515625" customWidth="1"/>
    <col min="5378" max="5378" width="19" customWidth="1"/>
    <col min="5382" max="5382" width="17.28515625" customWidth="1"/>
    <col min="5634" max="5634" width="19" customWidth="1"/>
    <col min="5638" max="5638" width="17.28515625" customWidth="1"/>
    <col min="5890" max="5890" width="19" customWidth="1"/>
    <col min="5894" max="5894" width="17.28515625" customWidth="1"/>
    <col min="6146" max="6146" width="19" customWidth="1"/>
    <col min="6150" max="6150" width="17.28515625" customWidth="1"/>
    <col min="6402" max="6402" width="19" customWidth="1"/>
    <col min="6406" max="6406" width="17.28515625" customWidth="1"/>
    <col min="6658" max="6658" width="19" customWidth="1"/>
    <col min="6662" max="6662" width="17.28515625" customWidth="1"/>
    <col min="6914" max="6914" width="19" customWidth="1"/>
    <col min="6918" max="6918" width="17.28515625" customWidth="1"/>
    <col min="7170" max="7170" width="19" customWidth="1"/>
    <col min="7174" max="7174" width="17.28515625" customWidth="1"/>
    <col min="7426" max="7426" width="19" customWidth="1"/>
    <col min="7430" max="7430" width="17.28515625" customWidth="1"/>
    <col min="7682" max="7682" width="19" customWidth="1"/>
    <col min="7686" max="7686" width="17.28515625" customWidth="1"/>
    <col min="7938" max="7938" width="19" customWidth="1"/>
    <col min="7942" max="7942" width="17.28515625" customWidth="1"/>
    <col min="8194" max="8194" width="19" customWidth="1"/>
    <col min="8198" max="8198" width="17.28515625" customWidth="1"/>
    <col min="8450" max="8450" width="19" customWidth="1"/>
    <col min="8454" max="8454" width="17.28515625" customWidth="1"/>
    <col min="8706" max="8706" width="19" customWidth="1"/>
    <col min="8710" max="8710" width="17.28515625" customWidth="1"/>
    <col min="8962" max="8962" width="19" customWidth="1"/>
    <col min="8966" max="8966" width="17.28515625" customWidth="1"/>
    <col min="9218" max="9218" width="19" customWidth="1"/>
    <col min="9222" max="9222" width="17.28515625" customWidth="1"/>
    <col min="9474" max="9474" width="19" customWidth="1"/>
    <col min="9478" max="9478" width="17.28515625" customWidth="1"/>
    <col min="9730" max="9730" width="19" customWidth="1"/>
    <col min="9734" max="9734" width="17.28515625" customWidth="1"/>
    <col min="9986" max="9986" width="19" customWidth="1"/>
    <col min="9990" max="9990" width="17.28515625" customWidth="1"/>
    <col min="10242" max="10242" width="19" customWidth="1"/>
    <col min="10246" max="10246" width="17.28515625" customWidth="1"/>
    <col min="10498" max="10498" width="19" customWidth="1"/>
    <col min="10502" max="10502" width="17.28515625" customWidth="1"/>
    <col min="10754" max="10754" width="19" customWidth="1"/>
    <col min="10758" max="10758" width="17.28515625" customWidth="1"/>
    <col min="11010" max="11010" width="19" customWidth="1"/>
    <col min="11014" max="11014" width="17.28515625" customWidth="1"/>
    <col min="11266" max="11266" width="19" customWidth="1"/>
    <col min="11270" max="11270" width="17.28515625" customWidth="1"/>
    <col min="11522" max="11522" width="19" customWidth="1"/>
    <col min="11526" max="11526" width="17.28515625" customWidth="1"/>
    <col min="11778" max="11778" width="19" customWidth="1"/>
    <col min="11782" max="11782" width="17.28515625" customWidth="1"/>
    <col min="12034" max="12034" width="19" customWidth="1"/>
    <col min="12038" max="12038" width="17.28515625" customWidth="1"/>
    <col min="12290" max="12290" width="19" customWidth="1"/>
    <col min="12294" max="12294" width="17.28515625" customWidth="1"/>
    <col min="12546" max="12546" width="19" customWidth="1"/>
    <col min="12550" max="12550" width="17.28515625" customWidth="1"/>
    <col min="12802" max="12802" width="19" customWidth="1"/>
    <col min="12806" max="12806" width="17.28515625" customWidth="1"/>
    <col min="13058" max="13058" width="19" customWidth="1"/>
    <col min="13062" max="13062" width="17.28515625" customWidth="1"/>
    <col min="13314" max="13314" width="19" customWidth="1"/>
    <col min="13318" max="13318" width="17.28515625" customWidth="1"/>
    <col min="13570" max="13570" width="19" customWidth="1"/>
    <col min="13574" max="13574" width="17.28515625" customWidth="1"/>
    <col min="13826" max="13826" width="19" customWidth="1"/>
    <col min="13830" max="13830" width="17.28515625" customWidth="1"/>
    <col min="14082" max="14082" width="19" customWidth="1"/>
    <col min="14086" max="14086" width="17.28515625" customWidth="1"/>
    <col min="14338" max="14338" width="19" customWidth="1"/>
    <col min="14342" max="14342" width="17.28515625" customWidth="1"/>
    <col min="14594" max="14594" width="19" customWidth="1"/>
    <col min="14598" max="14598" width="17.28515625" customWidth="1"/>
    <col min="14850" max="14850" width="19" customWidth="1"/>
    <col min="14854" max="14854" width="17.28515625" customWidth="1"/>
    <col min="15106" max="15106" width="19" customWidth="1"/>
    <col min="15110" max="15110" width="17.28515625" customWidth="1"/>
    <col min="15362" max="15362" width="19" customWidth="1"/>
    <col min="15366" max="15366" width="17.28515625" customWidth="1"/>
    <col min="15618" max="15618" width="19" customWidth="1"/>
    <col min="15622" max="15622" width="17.28515625" customWidth="1"/>
    <col min="15874" max="15874" width="19" customWidth="1"/>
    <col min="15878" max="15878" width="17.28515625" customWidth="1"/>
    <col min="16130" max="16130" width="19" customWidth="1"/>
    <col min="16134" max="16134" width="17.28515625" customWidth="1"/>
  </cols>
  <sheetData>
    <row r="1" spans="1:7" x14ac:dyDescent="0.25">
      <c r="A1" t="s">
        <v>59</v>
      </c>
    </row>
    <row r="3" spans="1:7" x14ac:dyDescent="0.25">
      <c r="A3" t="s">
        <v>53</v>
      </c>
      <c r="B3" t="s">
        <v>60</v>
      </c>
      <c r="F3" t="s">
        <v>65</v>
      </c>
      <c r="G3" t="s">
        <v>66</v>
      </c>
    </row>
    <row r="4" spans="1:7" x14ac:dyDescent="0.25">
      <c r="A4" t="s">
        <v>11</v>
      </c>
      <c r="B4" t="s">
        <v>54</v>
      </c>
      <c r="C4" s="53" t="s">
        <v>55</v>
      </c>
      <c r="E4" t="s">
        <v>11</v>
      </c>
      <c r="F4" t="s">
        <v>54</v>
      </c>
      <c r="G4" t="s">
        <v>55</v>
      </c>
    </row>
    <row r="5" spans="1:7" x14ac:dyDescent="0.25">
      <c r="A5">
        <v>1</v>
      </c>
      <c r="B5" t="s">
        <v>1</v>
      </c>
      <c r="C5" s="53">
        <v>48</v>
      </c>
      <c r="E5">
        <v>1</v>
      </c>
      <c r="F5" t="s">
        <v>67</v>
      </c>
      <c r="G5">
        <v>45</v>
      </c>
    </row>
    <row r="6" spans="1:7" x14ac:dyDescent="0.25">
      <c r="A6">
        <v>2</v>
      </c>
      <c r="B6" t="s">
        <v>6</v>
      </c>
      <c r="C6" s="53">
        <v>48</v>
      </c>
      <c r="E6">
        <v>2</v>
      </c>
      <c r="F6" t="s">
        <v>68</v>
      </c>
      <c r="G6">
        <v>43</v>
      </c>
    </row>
    <row r="7" spans="1:7" x14ac:dyDescent="0.25">
      <c r="A7">
        <v>3</v>
      </c>
      <c r="B7" t="s">
        <v>61</v>
      </c>
      <c r="C7" s="53">
        <v>43</v>
      </c>
      <c r="E7">
        <v>3</v>
      </c>
      <c r="F7" t="s">
        <v>69</v>
      </c>
      <c r="G7">
        <v>42</v>
      </c>
    </row>
    <row r="8" spans="1:7" x14ac:dyDescent="0.25">
      <c r="A8">
        <v>4</v>
      </c>
      <c r="B8" t="s">
        <v>7</v>
      </c>
      <c r="C8" s="53">
        <v>42</v>
      </c>
    </row>
    <row r="9" spans="1:7" x14ac:dyDescent="0.25">
      <c r="A9">
        <v>5</v>
      </c>
      <c r="B9" t="s">
        <v>8</v>
      </c>
      <c r="C9" s="53">
        <v>37</v>
      </c>
    </row>
    <row r="12" spans="1:7" x14ac:dyDescent="0.25">
      <c r="A12" t="s">
        <v>56</v>
      </c>
      <c r="C12" t="s">
        <v>62</v>
      </c>
    </row>
    <row r="13" spans="1:7" x14ac:dyDescent="0.25">
      <c r="A13" t="s">
        <v>11</v>
      </c>
      <c r="B13" t="s">
        <v>54</v>
      </c>
      <c r="C13" s="53" t="s">
        <v>55</v>
      </c>
    </row>
    <row r="14" spans="1:7" x14ac:dyDescent="0.25">
      <c r="A14">
        <v>1</v>
      </c>
      <c r="B14" t="s">
        <v>2</v>
      </c>
      <c r="C14" s="53">
        <v>30</v>
      </c>
    </row>
    <row r="15" spans="1:7" x14ac:dyDescent="0.25">
      <c r="A15">
        <v>2</v>
      </c>
      <c r="B15" t="s">
        <v>0</v>
      </c>
      <c r="C15" s="53">
        <v>28</v>
      </c>
    </row>
    <row r="16" spans="1:7" x14ac:dyDescent="0.25">
      <c r="A16">
        <v>3</v>
      </c>
      <c r="B16" t="s">
        <v>63</v>
      </c>
      <c r="C16" s="53">
        <v>19</v>
      </c>
    </row>
    <row r="17" spans="1:3" x14ac:dyDescent="0.25">
      <c r="A17">
        <v>4</v>
      </c>
      <c r="B17" t="s">
        <v>57</v>
      </c>
      <c r="C17" s="53">
        <v>12</v>
      </c>
    </row>
    <row r="18" spans="1:3" x14ac:dyDescent="0.25">
      <c r="A18">
        <v>5</v>
      </c>
      <c r="B18" t="s">
        <v>3</v>
      </c>
      <c r="C18" s="53">
        <v>9</v>
      </c>
    </row>
    <row r="21" spans="1:3" x14ac:dyDescent="0.25">
      <c r="A21" t="s">
        <v>58</v>
      </c>
      <c r="B21" t="s">
        <v>64</v>
      </c>
    </row>
    <row r="22" spans="1:3" x14ac:dyDescent="0.25">
      <c r="A22" t="s">
        <v>11</v>
      </c>
      <c r="B22" t="s">
        <v>54</v>
      </c>
      <c r="C22" s="53" t="s">
        <v>55</v>
      </c>
    </row>
    <row r="23" spans="1:3" x14ac:dyDescent="0.25">
      <c r="A23">
        <v>1</v>
      </c>
      <c r="B23" t="s">
        <v>4</v>
      </c>
      <c r="C23" s="53">
        <v>16</v>
      </c>
    </row>
    <row r="24" spans="1:3" x14ac:dyDescent="0.25">
      <c r="A24">
        <v>2</v>
      </c>
      <c r="B24" t="s">
        <v>9</v>
      </c>
      <c r="C24" s="53">
        <v>12</v>
      </c>
    </row>
    <row r="25" spans="1:3" x14ac:dyDescent="0.25">
      <c r="A25">
        <v>3</v>
      </c>
      <c r="B25" t="s">
        <v>5</v>
      </c>
      <c r="C25" s="5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NRA BB GUN</vt:lpstr>
      <vt:lpstr>40 Sht Stand</vt:lpstr>
      <vt:lpstr>NRA SECT.</vt:lpstr>
      <vt:lpstr>NRA TEAMS</vt:lpstr>
      <vt:lpstr>Jr.Olympics</vt:lpstr>
      <vt:lpstr>Wildlife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Tiry</dc:creator>
  <cp:lastModifiedBy>LYNN K PFEIFFER</cp:lastModifiedBy>
  <dcterms:created xsi:type="dcterms:W3CDTF">2019-03-31T18:34:19Z</dcterms:created>
  <dcterms:modified xsi:type="dcterms:W3CDTF">2019-07-24T12:33:59Z</dcterms:modified>
</cp:coreProperties>
</file>